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skar\OneDrive\RAHANGDALE Sir\Gondia\Nagpur Wakodi\1st Reply\"/>
    </mc:Choice>
  </mc:AlternateContent>
  <bookViews>
    <workbookView xWindow="-105" yWindow="-105" windowWidth="19425" windowHeight="10305"/>
  </bookViews>
  <sheets>
    <sheet name="Capital Cost" sheetId="20" r:id="rId1"/>
    <sheet name="Key Assumptions" sheetId="18" r:id="rId2"/>
    <sheet name="Capital Cost break-up" sheetId="1" state="hidden" r:id="rId3"/>
    <sheet name="Project Glance" sheetId="2" r:id="rId4"/>
    <sheet name="Depn" sheetId="3" r:id="rId5"/>
    <sheet name="Output Schedule" sheetId="4" r:id="rId6"/>
    <sheet name="CS-RM" sheetId="5" r:id="rId7"/>
    <sheet name="Purchase Schedule" sheetId="6" r:id="rId8"/>
    <sheet name="CS-FG" sheetId="7" r:id="rId9"/>
    <sheet name="Sales Schedule" sheetId="8" r:id="rId10"/>
    <sheet name="Farm Implement Business" sheetId="22" state="hidden" r:id="rId11"/>
    <sheet name="Production Level Support" sheetId="21" state="hidden" r:id="rId12"/>
    <sheet name="Manpower Schedule" sheetId="9" r:id="rId13"/>
    <sheet name="weigh Bridge" sheetId="39" state="hidden" r:id="rId14"/>
    <sheet name="Opex Schedule" sheetId="10" r:id="rId15"/>
    <sheet name="WC Req" sheetId="23" state="hidden" r:id="rId16"/>
    <sheet name="Ammortization" sheetId="37" r:id="rId17"/>
    <sheet name="WC Assessment" sheetId="11" r:id="rId18"/>
    <sheet name="P&amp;L" sheetId="12" r:id="rId19"/>
    <sheet name="Tax" sheetId="14" r:id="rId20"/>
    <sheet name="BS" sheetId="15" r:id="rId21"/>
    <sheet name="CF" sheetId="16" r:id="rId22"/>
    <sheet name="TL Schedule" sheetId="24" state="hidden" r:id="rId23"/>
    <sheet name="Interest" sheetId="13" state="hidden" r:id="rId24"/>
    <sheet name="ROCE and Payback" sheetId="34" r:id="rId25"/>
    <sheet name="NPV" sheetId="30" r:id="rId26"/>
    <sheet name="IRR" sheetId="29" r:id="rId27"/>
    <sheet name="Debt Equity" sheetId="33" state="hidden" r:id="rId28"/>
    <sheet name="Break Even" sheetId="32" state="hidden" r:id="rId29"/>
    <sheet name="DSCR" sheetId="31" state="hidden" r:id="rId30"/>
    <sheet name="BEP &amp; DSCR" sheetId="17" r:id="rId31"/>
    <sheet name="Sheet19" sheetId="19" state="hidden" r:id="rId32"/>
    <sheet name="Sheet6" sheetId="25" state="hidden" r:id="rId33"/>
    <sheet name="Benefit-FPO-Producer" sheetId="26" state="hidden" r:id="rId34"/>
    <sheet name="Sheet2" sheetId="27" state="hidden" r:id="rId35"/>
    <sheet name="Economic Analysis" sheetId="28" state="hidden" r:id="rId36"/>
    <sheet name="Sheet9" sheetId="35" state="hidden" r:id="rId37"/>
    <sheet name="sensitivity" sheetId="36" r:id="rId38"/>
    <sheet name="Member Data" sheetId="38" r:id="rId39"/>
    <sheet name="Sheet1" sheetId="40" r:id="rId40"/>
  </sheets>
  <definedNames>
    <definedName name="_xlnm.Print_Area" localSheetId="0">'Capital Cost'!$A$1:$C$48</definedName>
    <definedName name="_xlnm.Print_Area" localSheetId="26">IRR!$A$1:$K$28</definedName>
    <definedName name="_xlnm.Print_Area" localSheetId="14">'Opex Schedule'!$A$1:$L$43</definedName>
    <definedName name="_xlnm.Print_Area" localSheetId="5">'Output Schedule'!$A$1:$K$47</definedName>
    <definedName name="_xlnm.Print_Area" localSheetId="3">'Project Glance'!$A$1:$E$23</definedName>
    <definedName name="_xlnm.Print_Area" localSheetId="24">'ROCE and Payback'!$A$1:$K$19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7" l="1"/>
  <c r="G13" i="4"/>
  <c r="H13" i="4" s="1"/>
  <c r="I13" i="4" s="1"/>
  <c r="E13" i="4"/>
  <c r="B10" i="2"/>
  <c r="C43" i="20"/>
  <c r="H39" i="4" l="1"/>
  <c r="G39" i="4"/>
  <c r="F39" i="4"/>
  <c r="E39" i="4"/>
  <c r="D39" i="4"/>
  <c r="C39" i="4"/>
  <c r="B39" i="4"/>
  <c r="H25" i="4"/>
  <c r="G25" i="4"/>
  <c r="F25" i="4"/>
  <c r="E25" i="4"/>
  <c r="D25" i="4"/>
  <c r="C25" i="4"/>
  <c r="B25" i="4"/>
  <c r="H30" i="4"/>
  <c r="I24" i="7"/>
  <c r="I26" i="7"/>
  <c r="I55" i="7"/>
  <c r="H29" i="4"/>
  <c r="I18" i="7"/>
  <c r="G29" i="4"/>
  <c r="H18" i="7"/>
  <c r="F29" i="4"/>
  <c r="G18" i="7"/>
  <c r="E29" i="4"/>
  <c r="F18" i="7"/>
  <c r="D29" i="4"/>
  <c r="E18" i="7"/>
  <c r="C29" i="4"/>
  <c r="D18" i="7"/>
  <c r="B29" i="4"/>
  <c r="C18" i="7"/>
  <c r="C20" i="7"/>
  <c r="D17" i="7"/>
  <c r="D20" i="7"/>
  <c r="E17" i="7"/>
  <c r="E20" i="7"/>
  <c r="F17" i="7"/>
  <c r="F20" i="7"/>
  <c r="G17" i="7"/>
  <c r="G20" i="7"/>
  <c r="H17" i="7"/>
  <c r="H20" i="7"/>
  <c r="I17" i="7"/>
  <c r="I20" i="7"/>
  <c r="I51" i="7"/>
  <c r="I123" i="7"/>
  <c r="H12" i="12"/>
  <c r="G30" i="4"/>
  <c r="H24" i="7"/>
  <c r="H26" i="7"/>
  <c r="H55" i="7"/>
  <c r="I54" i="7"/>
  <c r="H51" i="7"/>
  <c r="I50" i="7"/>
  <c r="I122" i="7"/>
  <c r="H11" i="12"/>
  <c r="I40" i="15"/>
  <c r="H123" i="7"/>
  <c r="G12" i="12"/>
  <c r="F30" i="4"/>
  <c r="G24" i="7"/>
  <c r="G26" i="7"/>
  <c r="G55" i="7"/>
  <c r="H54" i="7"/>
  <c r="G51" i="7"/>
  <c r="H50" i="7"/>
  <c r="H122" i="7"/>
  <c r="G11" i="12"/>
  <c r="H40" i="15"/>
  <c r="G123" i="7"/>
  <c r="F12" i="12"/>
  <c r="E30" i="4"/>
  <c r="F24" i="7"/>
  <c r="F26" i="7"/>
  <c r="F55" i="7"/>
  <c r="G54" i="7"/>
  <c r="F51" i="7"/>
  <c r="G50" i="7"/>
  <c r="G122" i="7"/>
  <c r="F11" i="12"/>
  <c r="G40" i="15"/>
  <c r="F123" i="7"/>
  <c r="E12" i="12"/>
  <c r="D30" i="4"/>
  <c r="E24" i="7"/>
  <c r="E26" i="7"/>
  <c r="E55" i="7"/>
  <c r="F54" i="7"/>
  <c r="E51" i="7"/>
  <c r="F50" i="7"/>
  <c r="F122" i="7"/>
  <c r="E11" i="12"/>
  <c r="F40" i="15"/>
  <c r="E123" i="7"/>
  <c r="D12" i="12"/>
  <c r="C30" i="4"/>
  <c r="D24" i="7"/>
  <c r="D26" i="7"/>
  <c r="D55" i="7"/>
  <c r="E54" i="7"/>
  <c r="D51" i="7"/>
  <c r="E50" i="7"/>
  <c r="E122" i="7"/>
  <c r="D11" i="12"/>
  <c r="E40" i="15"/>
  <c r="D123" i="7"/>
  <c r="C12" i="12"/>
  <c r="B30" i="4"/>
  <c r="C24" i="7"/>
  <c r="C26" i="7"/>
  <c r="C55" i="7"/>
  <c r="D54" i="7"/>
  <c r="C51" i="7"/>
  <c r="D50" i="7"/>
  <c r="D122" i="7"/>
  <c r="C11" i="12"/>
  <c r="D40" i="15"/>
  <c r="C123" i="7"/>
  <c r="B12" i="12"/>
  <c r="C40" i="15"/>
  <c r="N16" i="38"/>
  <c r="N15" i="38"/>
  <c r="M13" i="38"/>
  <c r="M11" i="38"/>
  <c r="M9" i="38"/>
  <c r="M7" i="38"/>
  <c r="M5" i="38"/>
  <c r="M4" i="38"/>
  <c r="M2" i="38"/>
  <c r="C13" i="20"/>
  <c r="C44" i="20"/>
  <c r="C17" i="7"/>
  <c r="B5" i="4"/>
  <c r="B6" i="4"/>
  <c r="B7" i="4"/>
  <c r="B17" i="4"/>
  <c r="C19" i="7"/>
  <c r="C11" i="7"/>
  <c r="B28" i="4"/>
  <c r="C12" i="7"/>
  <c r="C14" i="7"/>
  <c r="C13" i="7"/>
  <c r="C8" i="8"/>
  <c r="C9" i="8"/>
  <c r="C10" i="8"/>
  <c r="C5" i="7"/>
  <c r="B27" i="4"/>
  <c r="C6" i="7"/>
  <c r="C8" i="7"/>
  <c r="C7" i="7"/>
  <c r="C4" i="8"/>
  <c r="C5" i="8"/>
  <c r="C6" i="8"/>
  <c r="C23" i="7"/>
  <c r="C25" i="7"/>
  <c r="C63" i="7"/>
  <c r="B18" i="4"/>
  <c r="B34" i="4"/>
  <c r="C64" i="7"/>
  <c r="C66" i="7"/>
  <c r="C65" i="7"/>
  <c r="C25" i="8"/>
  <c r="C26" i="8"/>
  <c r="C27" i="8"/>
  <c r="C69" i="7"/>
  <c r="B35" i="4"/>
  <c r="C70" i="7"/>
  <c r="C72" i="7"/>
  <c r="C71" i="7"/>
  <c r="C29" i="8"/>
  <c r="C30" i="8"/>
  <c r="C31" i="8"/>
  <c r="C75" i="7"/>
  <c r="B36" i="4"/>
  <c r="C76" i="7"/>
  <c r="C78" i="7"/>
  <c r="C77" i="7"/>
  <c r="C33" i="8"/>
  <c r="C34" i="8"/>
  <c r="C35" i="8"/>
  <c r="C81" i="7"/>
  <c r="B37" i="4"/>
  <c r="C82" i="7"/>
  <c r="C84" i="7"/>
  <c r="C83" i="7"/>
  <c r="C37" i="8"/>
  <c r="C38" i="8"/>
  <c r="C39" i="8"/>
  <c r="C29" i="7"/>
  <c r="B31" i="4"/>
  <c r="C30" i="7"/>
  <c r="C32" i="7"/>
  <c r="C31" i="7"/>
  <c r="C87" i="7"/>
  <c r="B38" i="4"/>
  <c r="C88" i="7"/>
  <c r="C90" i="7"/>
  <c r="C89" i="7"/>
  <c r="C41" i="8"/>
  <c r="C42" i="8"/>
  <c r="C43" i="8"/>
  <c r="C45" i="8"/>
  <c r="B5" i="12"/>
  <c r="B12" i="4"/>
  <c r="B14" i="4"/>
  <c r="B6" i="12" s="1"/>
  <c r="B7" i="12"/>
  <c r="B8" i="12"/>
  <c r="C43" i="7"/>
  <c r="C47" i="7"/>
  <c r="C101" i="7"/>
  <c r="C105" i="7"/>
  <c r="C109" i="7"/>
  <c r="C113" i="7"/>
  <c r="C59" i="7"/>
  <c r="C117" i="7"/>
  <c r="B7" i="5"/>
  <c r="B8" i="5"/>
  <c r="B16" i="5"/>
  <c r="C15" i="5" s="1"/>
  <c r="B21" i="5"/>
  <c r="B22" i="5"/>
  <c r="B28" i="5"/>
  <c r="B6" i="5"/>
  <c r="B3" i="6"/>
  <c r="B12" i="5"/>
  <c r="B4" i="6" s="1"/>
  <c r="B20" i="5"/>
  <c r="B6" i="6"/>
  <c r="B7" i="6"/>
  <c r="C44" i="18" s="1"/>
  <c r="C6" i="10"/>
  <c r="C7" i="10"/>
  <c r="Q3" i="10"/>
  <c r="C10" i="10"/>
  <c r="C11" i="10"/>
  <c r="C12" i="10"/>
  <c r="G3" i="9"/>
  <c r="G4" i="9"/>
  <c r="G5" i="9"/>
  <c r="G6" i="9"/>
  <c r="C13" i="10" s="1"/>
  <c r="G7" i="9"/>
  <c r="G8" i="9"/>
  <c r="G9" i="9"/>
  <c r="C14" i="10"/>
  <c r="C15" i="10"/>
  <c r="B6" i="2"/>
  <c r="C5" i="3"/>
  <c r="B8" i="2"/>
  <c r="C10" i="3" s="1"/>
  <c r="C24" i="10"/>
  <c r="G11" i="9"/>
  <c r="C25" i="10" s="1"/>
  <c r="G12" i="9"/>
  <c r="G13" i="9"/>
  <c r="G14" i="9"/>
  <c r="G15" i="9"/>
  <c r="G16" i="9"/>
  <c r="G17" i="9"/>
  <c r="Q5" i="10"/>
  <c r="C26" i="10"/>
  <c r="B23" i="9"/>
  <c r="B40" i="4"/>
  <c r="B42" i="4"/>
  <c r="B43" i="4"/>
  <c r="B45" i="4"/>
  <c r="C31" i="10"/>
  <c r="N7" i="10"/>
  <c r="N13" i="10"/>
  <c r="C32" i="10"/>
  <c r="C33" i="10"/>
  <c r="C35" i="10"/>
  <c r="C36" i="10"/>
  <c r="C38" i="10"/>
  <c r="C39" i="10"/>
  <c r="C40" i="10"/>
  <c r="C41" i="10"/>
  <c r="C43" i="10"/>
  <c r="B25" i="12"/>
  <c r="D6" i="20"/>
  <c r="P8" i="38"/>
  <c r="Q8" i="38"/>
  <c r="B19" i="38"/>
  <c r="B11" i="38"/>
  <c r="P18" i="38"/>
  <c r="Q25" i="38"/>
  <c r="R25" i="38"/>
  <c r="C10" i="18"/>
  <c r="C72" i="18"/>
  <c r="C71" i="18"/>
  <c r="C70" i="18"/>
  <c r="C69" i="18"/>
  <c r="C68" i="18"/>
  <c r="C65" i="18"/>
  <c r="C29" i="18"/>
  <c r="B29" i="18"/>
  <c r="C28" i="18"/>
  <c r="C27" i="18"/>
  <c r="C26" i="18"/>
  <c r="C25" i="18"/>
  <c r="C22" i="18"/>
  <c r="C21" i="18"/>
  <c r="C20" i="18"/>
  <c r="C19" i="18"/>
  <c r="C18" i="18"/>
  <c r="B22" i="18"/>
  <c r="B21" i="18"/>
  <c r="B20" i="18"/>
  <c r="B19" i="18"/>
  <c r="B18" i="18"/>
  <c r="C6" i="4"/>
  <c r="D6" i="4"/>
  <c r="E6" i="4"/>
  <c r="F6" i="4"/>
  <c r="G6" i="4"/>
  <c r="H6" i="4"/>
  <c r="I6" i="4"/>
  <c r="J6" i="4"/>
  <c r="K6" i="4"/>
  <c r="C40" i="4"/>
  <c r="D40" i="4"/>
  <c r="E40" i="4"/>
  <c r="F40" i="4"/>
  <c r="G40" i="4"/>
  <c r="H40" i="4"/>
  <c r="I40" i="4"/>
  <c r="J40" i="4"/>
  <c r="K40" i="4"/>
  <c r="C5" i="4"/>
  <c r="D5" i="4"/>
  <c r="E5" i="4"/>
  <c r="F5" i="4"/>
  <c r="M38" i="4"/>
  <c r="M31" i="4"/>
  <c r="C122" i="7"/>
  <c r="D97" i="7"/>
  <c r="E97" i="7"/>
  <c r="F97" i="7"/>
  <c r="G97" i="7"/>
  <c r="H97" i="7"/>
  <c r="I97" i="7"/>
  <c r="J97" i="7"/>
  <c r="K97" i="7"/>
  <c r="L97" i="7"/>
  <c r="L42" i="8"/>
  <c r="B86" i="7"/>
  <c r="B97" i="7"/>
  <c r="D39" i="7"/>
  <c r="E39" i="7"/>
  <c r="F39" i="7"/>
  <c r="G39" i="7"/>
  <c r="H39" i="7"/>
  <c r="I39" i="7"/>
  <c r="J39" i="7"/>
  <c r="K39" i="7"/>
  <c r="L39" i="7"/>
  <c r="L21" i="8"/>
  <c r="B28" i="7"/>
  <c r="B39" i="7"/>
  <c r="B65" i="18"/>
  <c r="M37" i="4"/>
  <c r="N37" i="4"/>
  <c r="M36" i="4"/>
  <c r="N36" i="4"/>
  <c r="M35" i="4"/>
  <c r="N35" i="4"/>
  <c r="M34" i="4"/>
  <c r="N34" i="4"/>
  <c r="M30" i="4"/>
  <c r="M29" i="4"/>
  <c r="M28" i="4"/>
  <c r="M27" i="4"/>
  <c r="D96" i="7"/>
  <c r="D38" i="8"/>
  <c r="D95" i="7"/>
  <c r="D34" i="8"/>
  <c r="D94" i="7"/>
  <c r="D30" i="8"/>
  <c r="D93" i="7"/>
  <c r="E93" i="7"/>
  <c r="F93" i="7"/>
  <c r="G93" i="7"/>
  <c r="H93" i="7"/>
  <c r="I93" i="7"/>
  <c r="J93" i="7"/>
  <c r="K93" i="7"/>
  <c r="L93" i="7"/>
  <c r="L26" i="8"/>
  <c r="B27" i="5"/>
  <c r="B15" i="5"/>
  <c r="C25" i="5"/>
  <c r="D25" i="5" s="1"/>
  <c r="A37" i="4"/>
  <c r="B80" i="7"/>
  <c r="B96" i="7"/>
  <c r="A36" i="4"/>
  <c r="B27" i="18"/>
  <c r="B68" i="7"/>
  <c r="B94" i="7"/>
  <c r="B62" i="7"/>
  <c r="B93" i="7"/>
  <c r="B68" i="18"/>
  <c r="D72" i="18"/>
  <c r="B115" i="7"/>
  <c r="D69" i="18"/>
  <c r="D68" i="18"/>
  <c r="G68" i="18"/>
  <c r="K68" i="18"/>
  <c r="E68" i="18"/>
  <c r="H72" i="18"/>
  <c r="L72" i="18"/>
  <c r="H68" i="18"/>
  <c r="L68" i="18"/>
  <c r="E72" i="18"/>
  <c r="I72" i="18"/>
  <c r="I68" i="18"/>
  <c r="D71" i="18"/>
  <c r="F72" i="18"/>
  <c r="J72" i="18"/>
  <c r="F68" i="18"/>
  <c r="J68" i="18"/>
  <c r="G72" i="18"/>
  <c r="K72" i="18"/>
  <c r="D70" i="18"/>
  <c r="F65" i="18"/>
  <c r="J65" i="18"/>
  <c r="G65" i="18"/>
  <c r="K65" i="18"/>
  <c r="D65" i="18"/>
  <c r="H65" i="18"/>
  <c r="L65" i="18"/>
  <c r="E65" i="18"/>
  <c r="I65" i="18"/>
  <c r="B72" i="18"/>
  <c r="B41" i="8"/>
  <c r="B37" i="8"/>
  <c r="B71" i="18"/>
  <c r="B28" i="18"/>
  <c r="B20" i="8"/>
  <c r="B74" i="7"/>
  <c r="B107" i="7"/>
  <c r="B29" i="8"/>
  <c r="B69" i="18"/>
  <c r="B26" i="18"/>
  <c r="B25" i="18"/>
  <c r="G5" i="4"/>
  <c r="E42" i="8"/>
  <c r="F42" i="8"/>
  <c r="I42" i="8"/>
  <c r="J42" i="8"/>
  <c r="G42" i="8"/>
  <c r="K42" i="8"/>
  <c r="D42" i="8"/>
  <c r="H42" i="8"/>
  <c r="F26" i="8"/>
  <c r="J26" i="8"/>
  <c r="G26" i="8"/>
  <c r="K26" i="8"/>
  <c r="D26" i="8"/>
  <c r="H26" i="8"/>
  <c r="E26" i="8"/>
  <c r="I26" i="8"/>
  <c r="J21" i="8"/>
  <c r="K21" i="8"/>
  <c r="B57" i="7"/>
  <c r="B99" i="7"/>
  <c r="B25" i="8"/>
  <c r="E94" i="7"/>
  <c r="E96" i="7"/>
  <c r="B103" i="7"/>
  <c r="B111" i="7"/>
  <c r="E95" i="7"/>
  <c r="I10" i="20"/>
  <c r="D8" i="10"/>
  <c r="E8" i="10"/>
  <c r="F8" i="10"/>
  <c r="G8" i="10"/>
  <c r="H8" i="10"/>
  <c r="I8" i="10"/>
  <c r="J8" i="10"/>
  <c r="K8" i="10"/>
  <c r="L8" i="10"/>
  <c r="B95" i="7"/>
  <c r="B33" i="8"/>
  <c r="C7" i="4"/>
  <c r="E38" i="8"/>
  <c r="E71" i="18"/>
  <c r="E30" i="8"/>
  <c r="E69" i="18"/>
  <c r="E34" i="8"/>
  <c r="E70" i="18"/>
  <c r="H5" i="4"/>
  <c r="F95" i="7"/>
  <c r="F96" i="7"/>
  <c r="F94" i="7"/>
  <c r="B70" i="18"/>
  <c r="D7" i="4"/>
  <c r="F30" i="8"/>
  <c r="F69" i="18"/>
  <c r="F38" i="8"/>
  <c r="F71" i="18"/>
  <c r="F34" i="8"/>
  <c r="F70" i="18"/>
  <c r="I5" i="4"/>
  <c r="G94" i="7"/>
  <c r="G96" i="7"/>
  <c r="G95" i="7"/>
  <c r="S37" i="38"/>
  <c r="N38" i="10"/>
  <c r="O14" i="4"/>
  <c r="O15" i="4"/>
  <c r="E7" i="4"/>
  <c r="G30" i="8"/>
  <c r="G69" i="18"/>
  <c r="G38" i="8"/>
  <c r="G71" i="18"/>
  <c r="G34" i="8"/>
  <c r="G70" i="18"/>
  <c r="J5" i="4"/>
  <c r="H96" i="7"/>
  <c r="H95" i="7"/>
  <c r="H94" i="7"/>
  <c r="D29" i="7"/>
  <c r="D58" i="7"/>
  <c r="F7" i="4"/>
  <c r="H38" i="8"/>
  <c r="H71" i="18"/>
  <c r="H30" i="8"/>
  <c r="H69" i="18"/>
  <c r="H34" i="8"/>
  <c r="H70" i="18"/>
  <c r="K5" i="4"/>
  <c r="I95" i="7"/>
  <c r="I96" i="7"/>
  <c r="I94" i="7"/>
  <c r="A5" i="36"/>
  <c r="A18" i="36"/>
  <c r="A4" i="36"/>
  <c r="A17" i="36"/>
  <c r="A3" i="36"/>
  <c r="A16" i="36"/>
  <c r="E7" i="2"/>
  <c r="E9" i="2"/>
  <c r="E10" i="2"/>
  <c r="E11" i="2"/>
  <c r="E12" i="2"/>
  <c r="E5" i="2"/>
  <c r="D11" i="10"/>
  <c r="E11" i="10"/>
  <c r="F11" i="10"/>
  <c r="G11" i="10"/>
  <c r="H11" i="10"/>
  <c r="I11" i="10"/>
  <c r="J11" i="10"/>
  <c r="K11" i="10"/>
  <c r="L11" i="10"/>
  <c r="Q16" i="10"/>
  <c r="G7" i="4"/>
  <c r="I30" i="8"/>
  <c r="I69" i="18"/>
  <c r="I38" i="8"/>
  <c r="I71" i="18"/>
  <c r="I34" i="8"/>
  <c r="I70" i="18"/>
  <c r="J94" i="7"/>
  <c r="J96" i="7"/>
  <c r="J95" i="7"/>
  <c r="C9" i="4"/>
  <c r="C8" i="4"/>
  <c r="D8" i="4"/>
  <c r="E8" i="4"/>
  <c r="F8" i="4"/>
  <c r="G8" i="4"/>
  <c r="H8" i="4"/>
  <c r="I8" i="4"/>
  <c r="J8" i="4"/>
  <c r="K8" i="4"/>
  <c r="C17" i="4"/>
  <c r="C18" i="4"/>
  <c r="D9" i="4"/>
  <c r="H7" i="4"/>
  <c r="J38" i="8"/>
  <c r="J71" i="18"/>
  <c r="J30" i="8"/>
  <c r="J69" i="18"/>
  <c r="J34" i="8"/>
  <c r="J70" i="18"/>
  <c r="K96" i="7"/>
  <c r="K95" i="7"/>
  <c r="K94" i="7"/>
  <c r="A31" i="36"/>
  <c r="A44" i="36"/>
  <c r="D17" i="4"/>
  <c r="D18" i="4"/>
  <c r="E9" i="4"/>
  <c r="C34" i="4"/>
  <c r="D64" i="7"/>
  <c r="C37" i="4"/>
  <c r="D82" i="7"/>
  <c r="D84" i="7"/>
  <c r="C38" i="4"/>
  <c r="D88" i="7"/>
  <c r="D90" i="7"/>
  <c r="C35" i="4"/>
  <c r="D70" i="7"/>
  <c r="C21" i="5"/>
  <c r="C22" i="5"/>
  <c r="C36" i="4"/>
  <c r="D76" i="7"/>
  <c r="D35" i="10"/>
  <c r="C31" i="4"/>
  <c r="D30" i="7"/>
  <c r="C27" i="4"/>
  <c r="C43" i="4"/>
  <c r="C28" i="4"/>
  <c r="I7" i="4"/>
  <c r="K38" i="8"/>
  <c r="K71" i="18"/>
  <c r="K30" i="8"/>
  <c r="K69" i="18"/>
  <c r="K34" i="8"/>
  <c r="K70" i="18"/>
  <c r="L94" i="7"/>
  <c r="L96" i="7"/>
  <c r="L71" i="18"/>
  <c r="L95" i="7"/>
  <c r="E87" i="7"/>
  <c r="D117" i="7"/>
  <c r="E116" i="7"/>
  <c r="D113" i="7"/>
  <c r="E112" i="7"/>
  <c r="E81" i="7"/>
  <c r="D34" i="4"/>
  <c r="E64" i="7"/>
  <c r="D36" i="4"/>
  <c r="E76" i="7"/>
  <c r="D37" i="4"/>
  <c r="E82" i="7"/>
  <c r="E84" i="7"/>
  <c r="D35" i="4"/>
  <c r="E70" i="7"/>
  <c r="D38" i="4"/>
  <c r="E88" i="7"/>
  <c r="E90" i="7"/>
  <c r="D21" i="5"/>
  <c r="D22" i="5"/>
  <c r="F9" i="4"/>
  <c r="E18" i="4"/>
  <c r="E17" i="4"/>
  <c r="D32" i="7"/>
  <c r="D31" i="7"/>
  <c r="D19" i="5"/>
  <c r="D27" i="4"/>
  <c r="D28" i="4"/>
  <c r="D31" i="4"/>
  <c r="E30" i="7"/>
  <c r="E32" i="7"/>
  <c r="E35" i="10"/>
  <c r="D43" i="4"/>
  <c r="J7" i="4"/>
  <c r="L30" i="8"/>
  <c r="L69" i="18"/>
  <c r="L34" i="8"/>
  <c r="L70" i="18"/>
  <c r="L38" i="8"/>
  <c r="D11" i="39"/>
  <c r="E11" i="39"/>
  <c r="F11" i="39"/>
  <c r="G11" i="39"/>
  <c r="H11" i="39"/>
  <c r="I11" i="39"/>
  <c r="J11" i="39"/>
  <c r="K11" i="39"/>
  <c r="L11" i="39"/>
  <c r="D9" i="39"/>
  <c r="E9" i="39"/>
  <c r="D6" i="39"/>
  <c r="E6" i="39"/>
  <c r="F6" i="39"/>
  <c r="D4" i="39"/>
  <c r="E4" i="39"/>
  <c r="F4" i="39"/>
  <c r="G4" i="39"/>
  <c r="H4" i="39"/>
  <c r="I4" i="39"/>
  <c r="J4" i="39"/>
  <c r="K4" i="39"/>
  <c r="L4" i="39"/>
  <c r="G9" i="4"/>
  <c r="F18" i="4"/>
  <c r="F17" i="4"/>
  <c r="F81" i="7"/>
  <c r="E113" i="7"/>
  <c r="F112" i="7"/>
  <c r="E83" i="7"/>
  <c r="E37" i="8"/>
  <c r="E39" i="8"/>
  <c r="E29" i="7"/>
  <c r="E31" i="7"/>
  <c r="D59" i="7"/>
  <c r="E58" i="7"/>
  <c r="D20" i="5"/>
  <c r="D6" i="6"/>
  <c r="E19" i="5"/>
  <c r="E21" i="5"/>
  <c r="E22" i="5"/>
  <c r="E20" i="5"/>
  <c r="E6" i="6"/>
  <c r="F29" i="7"/>
  <c r="E59" i="7"/>
  <c r="F58" i="7"/>
  <c r="E31" i="4"/>
  <c r="F30" i="7"/>
  <c r="F32" i="7"/>
  <c r="E43" i="4"/>
  <c r="F35" i="10"/>
  <c r="E27" i="4"/>
  <c r="E28" i="4"/>
  <c r="F87" i="7"/>
  <c r="E117" i="7"/>
  <c r="F116" i="7"/>
  <c r="E35" i="4"/>
  <c r="F70" i="7"/>
  <c r="E34" i="4"/>
  <c r="F64" i="7"/>
  <c r="E37" i="4"/>
  <c r="F82" i="7"/>
  <c r="F84" i="7"/>
  <c r="E36" i="4"/>
  <c r="F76" i="7"/>
  <c r="E38" i="4"/>
  <c r="F88" i="7"/>
  <c r="F90" i="7"/>
  <c r="E89" i="7"/>
  <c r="E41" i="8"/>
  <c r="E43" i="8"/>
  <c r="K7" i="4"/>
  <c r="F9" i="39"/>
  <c r="G6" i="39"/>
  <c r="G81" i="7"/>
  <c r="F113" i="7"/>
  <c r="G112" i="7"/>
  <c r="G35" i="10"/>
  <c r="F28" i="4"/>
  <c r="F31" i="4"/>
  <c r="G30" i="7"/>
  <c r="G32" i="7"/>
  <c r="F43" i="4"/>
  <c r="F27" i="4"/>
  <c r="G29" i="7"/>
  <c r="F59" i="7"/>
  <c r="G58" i="7"/>
  <c r="F31" i="7"/>
  <c r="F83" i="7"/>
  <c r="F37" i="8"/>
  <c r="F39" i="8"/>
  <c r="F89" i="7"/>
  <c r="F41" i="8"/>
  <c r="F43" i="8"/>
  <c r="F21" i="5"/>
  <c r="F22" i="5"/>
  <c r="F34" i="4"/>
  <c r="G64" i="7"/>
  <c r="F36" i="4"/>
  <c r="G76" i="7"/>
  <c r="F38" i="4"/>
  <c r="G88" i="7"/>
  <c r="G90" i="7"/>
  <c r="F37" i="4"/>
  <c r="G82" i="7"/>
  <c r="G84" i="7"/>
  <c r="F35" i="4"/>
  <c r="G70" i="7"/>
  <c r="G87" i="7"/>
  <c r="F117" i="7"/>
  <c r="G116" i="7"/>
  <c r="F19" i="5"/>
  <c r="H9" i="4"/>
  <c r="G18" i="4"/>
  <c r="G17" i="4"/>
  <c r="G9" i="39"/>
  <c r="H6" i="39"/>
  <c r="G37" i="4"/>
  <c r="H82" i="7"/>
  <c r="H84" i="7"/>
  <c r="G38" i="4"/>
  <c r="H88" i="7"/>
  <c r="H90" i="7"/>
  <c r="G34" i="4"/>
  <c r="H64" i="7"/>
  <c r="G35" i="4"/>
  <c r="H70" i="7"/>
  <c r="G36" i="4"/>
  <c r="H76" i="7"/>
  <c r="G21" i="5"/>
  <c r="G22" i="5"/>
  <c r="H29" i="7"/>
  <c r="G31" i="4"/>
  <c r="H30" i="7"/>
  <c r="H32" i="7"/>
  <c r="H31" i="7"/>
  <c r="G59" i="7"/>
  <c r="H58" i="7"/>
  <c r="I9" i="4"/>
  <c r="H18" i="4"/>
  <c r="H17" i="4"/>
  <c r="G89" i="7"/>
  <c r="G41" i="8"/>
  <c r="G43" i="8"/>
  <c r="G31" i="7"/>
  <c r="G117" i="7"/>
  <c r="H116" i="7"/>
  <c r="H87" i="7"/>
  <c r="H89" i="7"/>
  <c r="H41" i="8"/>
  <c r="H43" i="8"/>
  <c r="F20" i="5"/>
  <c r="F6" i="6"/>
  <c r="G27" i="4"/>
  <c r="G28" i="4"/>
  <c r="G43" i="4"/>
  <c r="H35" i="10"/>
  <c r="G113" i="7"/>
  <c r="H112" i="7"/>
  <c r="H81" i="7"/>
  <c r="H83" i="7"/>
  <c r="H37" i="8"/>
  <c r="H39" i="8"/>
  <c r="G19" i="5"/>
  <c r="G20" i="5"/>
  <c r="G6" i="6"/>
  <c r="G83" i="7"/>
  <c r="G37" i="8"/>
  <c r="G39" i="8"/>
  <c r="H9" i="39"/>
  <c r="I6" i="39"/>
  <c r="H36" i="4"/>
  <c r="I76" i="7"/>
  <c r="H34" i="4"/>
  <c r="I64" i="7"/>
  <c r="H21" i="5"/>
  <c r="H22" i="5"/>
  <c r="H37" i="4"/>
  <c r="I82" i="7"/>
  <c r="I84" i="7"/>
  <c r="H35" i="4"/>
  <c r="I70" i="7"/>
  <c r="H38" i="4"/>
  <c r="I88" i="7"/>
  <c r="I90" i="7"/>
  <c r="H19" i="5"/>
  <c r="H20" i="5"/>
  <c r="H6" i="6"/>
  <c r="I87" i="7"/>
  <c r="H117" i="7"/>
  <c r="I116" i="7"/>
  <c r="H31" i="4"/>
  <c r="I30" i="7"/>
  <c r="I32" i="7"/>
  <c r="H43" i="4"/>
  <c r="H27" i="4"/>
  <c r="H28" i="4"/>
  <c r="I35" i="10"/>
  <c r="H59" i="7"/>
  <c r="I58" i="7"/>
  <c r="I29" i="7"/>
  <c r="I31" i="7"/>
  <c r="J9" i="4"/>
  <c r="I17" i="4"/>
  <c r="I18" i="4"/>
  <c r="H113" i="7"/>
  <c r="I112" i="7"/>
  <c r="I81" i="7"/>
  <c r="I83" i="7"/>
  <c r="I37" i="8"/>
  <c r="I39" i="8"/>
  <c r="I9" i="39"/>
  <c r="J6" i="39"/>
  <c r="I19" i="5"/>
  <c r="I31" i="4"/>
  <c r="J30" i="7"/>
  <c r="J32" i="7"/>
  <c r="I29" i="4"/>
  <c r="I28" i="4"/>
  <c r="I30" i="4"/>
  <c r="J35" i="10"/>
  <c r="I43" i="4"/>
  <c r="I27" i="4"/>
  <c r="I117" i="7"/>
  <c r="J116" i="7"/>
  <c r="J87" i="7"/>
  <c r="I36" i="4"/>
  <c r="J76" i="7"/>
  <c r="I34" i="4"/>
  <c r="J64" i="7"/>
  <c r="I38" i="4"/>
  <c r="J88" i="7"/>
  <c r="J90" i="7"/>
  <c r="I37" i="4"/>
  <c r="J82" i="7"/>
  <c r="J84" i="7"/>
  <c r="I35" i="4"/>
  <c r="J70" i="7"/>
  <c r="I21" i="5"/>
  <c r="I22" i="5"/>
  <c r="K9" i="4"/>
  <c r="J17" i="4"/>
  <c r="J18" i="4"/>
  <c r="I89" i="7"/>
  <c r="I41" i="8"/>
  <c r="I43" i="8"/>
  <c r="J29" i="7"/>
  <c r="J31" i="7"/>
  <c r="J20" i="8"/>
  <c r="J22" i="8"/>
  <c r="I59" i="7"/>
  <c r="J58" i="7"/>
  <c r="J81" i="7"/>
  <c r="I113" i="7"/>
  <c r="J112" i="7"/>
  <c r="J9" i="39"/>
  <c r="K6" i="39"/>
  <c r="K87" i="7"/>
  <c r="J117" i="7"/>
  <c r="K116" i="7"/>
  <c r="J89" i="7"/>
  <c r="J41" i="8"/>
  <c r="J43" i="8"/>
  <c r="J19" i="5"/>
  <c r="K17" i="4"/>
  <c r="K18" i="4"/>
  <c r="J59" i="7"/>
  <c r="K58" i="7"/>
  <c r="K29" i="7"/>
  <c r="J83" i="7"/>
  <c r="J37" i="8"/>
  <c r="J39" i="8"/>
  <c r="J34" i="4"/>
  <c r="K64" i="7"/>
  <c r="J38" i="4"/>
  <c r="K88" i="7"/>
  <c r="K90" i="7"/>
  <c r="J36" i="4"/>
  <c r="K76" i="7"/>
  <c r="J21" i="5"/>
  <c r="J22" i="5"/>
  <c r="J35" i="4"/>
  <c r="K70" i="7"/>
  <c r="J37" i="4"/>
  <c r="K82" i="7"/>
  <c r="K84" i="7"/>
  <c r="J30" i="4"/>
  <c r="J28" i="4"/>
  <c r="J43" i="4"/>
  <c r="J31" i="4"/>
  <c r="K30" i="7"/>
  <c r="K32" i="7"/>
  <c r="K35" i="10"/>
  <c r="J29" i="4"/>
  <c r="J27" i="4"/>
  <c r="K81" i="7"/>
  <c r="J113" i="7"/>
  <c r="K112" i="7"/>
  <c r="I20" i="5"/>
  <c r="I6" i="6"/>
  <c r="K9" i="39"/>
  <c r="L6" i="39"/>
  <c r="K19" i="5"/>
  <c r="K36" i="4"/>
  <c r="L76" i="7"/>
  <c r="K21" i="5"/>
  <c r="K22" i="5"/>
  <c r="K38" i="4"/>
  <c r="L88" i="7"/>
  <c r="L90" i="7"/>
  <c r="L117" i="7"/>
  <c r="K34" i="4"/>
  <c r="L64" i="7"/>
  <c r="K35" i="4"/>
  <c r="L70" i="7"/>
  <c r="K37" i="4"/>
  <c r="L82" i="7"/>
  <c r="L84" i="7"/>
  <c r="L113" i="7"/>
  <c r="K83" i="7"/>
  <c r="K37" i="8"/>
  <c r="K39" i="8"/>
  <c r="K59" i="7"/>
  <c r="L58" i="7"/>
  <c r="L29" i="7"/>
  <c r="K31" i="4"/>
  <c r="L30" i="7"/>
  <c r="L32" i="7"/>
  <c r="L31" i="7"/>
  <c r="L20" i="8"/>
  <c r="L22" i="8"/>
  <c r="K29" i="4"/>
  <c r="L59" i="7"/>
  <c r="L35" i="10"/>
  <c r="K28" i="4"/>
  <c r="K27" i="4"/>
  <c r="K30" i="4"/>
  <c r="K43" i="4"/>
  <c r="L81" i="7"/>
  <c r="L83" i="7"/>
  <c r="L37" i="8"/>
  <c r="L39" i="8"/>
  <c r="K113" i="7"/>
  <c r="L112" i="7"/>
  <c r="L87" i="7"/>
  <c r="L89" i="7"/>
  <c r="L41" i="8"/>
  <c r="L43" i="8"/>
  <c r="K117" i="7"/>
  <c r="L116" i="7"/>
  <c r="K31" i="7"/>
  <c r="K20" i="8"/>
  <c r="K22" i="8"/>
  <c r="J20" i="5"/>
  <c r="J6" i="6"/>
  <c r="K89" i="7"/>
  <c r="K41" i="8"/>
  <c r="K43" i="8"/>
  <c r="L9" i="39"/>
  <c r="K20" i="5"/>
  <c r="K6" i="6"/>
  <c r="E8" i="2"/>
  <c r="C4" i="38"/>
  <c r="C5" i="38"/>
  <c r="C19" i="38"/>
  <c r="C11" i="38"/>
  <c r="C10" i="38"/>
  <c r="C13" i="38"/>
  <c r="C23" i="38"/>
  <c r="D4" i="38"/>
  <c r="E4" i="38"/>
  <c r="F4" i="38"/>
  <c r="G4" i="38"/>
  <c r="H4" i="38"/>
  <c r="I4" i="38"/>
  <c r="J4" i="38"/>
  <c r="K4" i="38"/>
  <c r="B13" i="38"/>
  <c r="B23" i="38"/>
  <c r="A19" i="36"/>
  <c r="A32" i="36"/>
  <c r="A45" i="36"/>
  <c r="C64" i="18"/>
  <c r="D38" i="7"/>
  <c r="D64" i="18"/>
  <c r="D37" i="7"/>
  <c r="E37" i="7"/>
  <c r="F37" i="7"/>
  <c r="G37" i="7"/>
  <c r="H37" i="7"/>
  <c r="I37" i="7"/>
  <c r="J37" i="7"/>
  <c r="K37" i="7"/>
  <c r="L37" i="7"/>
  <c r="D36" i="7"/>
  <c r="E36" i="7"/>
  <c r="F36" i="7"/>
  <c r="G36" i="7"/>
  <c r="H36" i="7"/>
  <c r="I36" i="7"/>
  <c r="J36" i="7"/>
  <c r="K36" i="7"/>
  <c r="L36" i="7"/>
  <c r="D35" i="7"/>
  <c r="E35" i="7"/>
  <c r="F35" i="7"/>
  <c r="G35" i="7"/>
  <c r="H35" i="7"/>
  <c r="I35" i="7"/>
  <c r="J35" i="7"/>
  <c r="K35" i="7"/>
  <c r="L35" i="7"/>
  <c r="N29" i="4"/>
  <c r="B22" i="7"/>
  <c r="B16" i="7"/>
  <c r="B10" i="7"/>
  <c r="D5" i="38"/>
  <c r="D11" i="38"/>
  <c r="E38" i="7"/>
  <c r="B38" i="7"/>
  <c r="B64" i="18"/>
  <c r="B53" i="7"/>
  <c r="B16" i="8"/>
  <c r="E5" i="38"/>
  <c r="E11" i="38"/>
  <c r="D19" i="38"/>
  <c r="B21" i="38"/>
  <c r="B25" i="38"/>
  <c r="C18" i="38"/>
  <c r="D10" i="38"/>
  <c r="D13" i="38"/>
  <c r="D23" i="38"/>
  <c r="F38" i="7"/>
  <c r="E64" i="18"/>
  <c r="A30" i="36"/>
  <c r="A43" i="36"/>
  <c r="A29" i="36"/>
  <c r="A42" i="36"/>
  <c r="F5" i="38"/>
  <c r="E19" i="38"/>
  <c r="D18" i="38"/>
  <c r="C21" i="38"/>
  <c r="C25" i="38"/>
  <c r="F11" i="38"/>
  <c r="E10" i="38"/>
  <c r="G38" i="7"/>
  <c r="F64" i="18"/>
  <c r="C11" i="5"/>
  <c r="C12" i="5" s="1"/>
  <c r="C4" i="6" s="1"/>
  <c r="D43" i="18" s="1"/>
  <c r="G5" i="38"/>
  <c r="G11" i="38"/>
  <c r="F19" i="38"/>
  <c r="D21" i="38"/>
  <c r="D25" i="38"/>
  <c r="E13" i="38"/>
  <c r="E23" i="38"/>
  <c r="F10" i="38"/>
  <c r="H38" i="7"/>
  <c r="G64" i="18"/>
  <c r="G19" i="38"/>
  <c r="E18" i="38"/>
  <c r="F13" i="38"/>
  <c r="F23" i="38"/>
  <c r="H11" i="38"/>
  <c r="G10" i="38"/>
  <c r="I38" i="7"/>
  <c r="H64" i="18"/>
  <c r="H19" i="38"/>
  <c r="F18" i="38"/>
  <c r="E21" i="38"/>
  <c r="E25" i="38"/>
  <c r="G13" i="38"/>
  <c r="G23" i="38"/>
  <c r="H10" i="38"/>
  <c r="J38" i="7"/>
  <c r="I64" i="18"/>
  <c r="N28" i="4"/>
  <c r="N30" i="4"/>
  <c r="N27" i="4"/>
  <c r="I19" i="38"/>
  <c r="I11" i="38"/>
  <c r="F21" i="38"/>
  <c r="F25" i="38"/>
  <c r="G18" i="38"/>
  <c r="H13" i="38"/>
  <c r="H23" i="38"/>
  <c r="I10" i="38"/>
  <c r="K38" i="7"/>
  <c r="J17" i="8"/>
  <c r="J64" i="18"/>
  <c r="N40" i="4"/>
  <c r="J56" i="17"/>
  <c r="K56" i="17"/>
  <c r="L56" i="17"/>
  <c r="K24" i="16"/>
  <c r="L24" i="16"/>
  <c r="M24" i="16"/>
  <c r="J20" i="15"/>
  <c r="K20" i="15"/>
  <c r="L25" i="16"/>
  <c r="L20" i="15"/>
  <c r="M25" i="16"/>
  <c r="I30" i="12"/>
  <c r="K26" i="16"/>
  <c r="J30" i="12"/>
  <c r="K37" i="17"/>
  <c r="K30" i="12"/>
  <c r="L52" i="17"/>
  <c r="B27" i="12"/>
  <c r="C7" i="17" s="1"/>
  <c r="C5" i="37"/>
  <c r="H10" i="31"/>
  <c r="B13" i="30"/>
  <c r="C13" i="30"/>
  <c r="D13" i="30"/>
  <c r="E13" i="30"/>
  <c r="F13" i="30"/>
  <c r="G13" i="30"/>
  <c r="H13" i="30"/>
  <c r="I13" i="30"/>
  <c r="J13" i="30"/>
  <c r="K13" i="30"/>
  <c r="B28" i="29"/>
  <c r="B22" i="29"/>
  <c r="C22" i="29"/>
  <c r="D22" i="29"/>
  <c r="E22" i="29"/>
  <c r="F22" i="29"/>
  <c r="G22" i="29"/>
  <c r="H22" i="29"/>
  <c r="I22" i="29"/>
  <c r="J22" i="29"/>
  <c r="B19" i="29"/>
  <c r="B12" i="29"/>
  <c r="C12" i="29" s="1"/>
  <c r="D12" i="29" s="1"/>
  <c r="E12" i="29" s="1"/>
  <c r="F12" i="29" s="1"/>
  <c r="G12" i="29" s="1"/>
  <c r="H12" i="29" s="1"/>
  <c r="I12" i="29" s="1"/>
  <c r="J12" i="29" s="1"/>
  <c r="K12" i="29" s="1"/>
  <c r="C27" i="12"/>
  <c r="D53" i="17" s="1"/>
  <c r="M26" i="16"/>
  <c r="J37" i="17"/>
  <c r="K52" i="17"/>
  <c r="L26" i="16"/>
  <c r="J52" i="17"/>
  <c r="L37" i="17"/>
  <c r="J19" i="38"/>
  <c r="J11" i="38"/>
  <c r="G21" i="38"/>
  <c r="G25" i="38"/>
  <c r="H18" i="38"/>
  <c r="I13" i="38"/>
  <c r="I23" i="38"/>
  <c r="J10" i="38"/>
  <c r="L38" i="7"/>
  <c r="K17" i="8"/>
  <c r="K64" i="18"/>
  <c r="K22" i="29"/>
  <c r="D27" i="12"/>
  <c r="E27" i="12" s="1"/>
  <c r="K11" i="38"/>
  <c r="K19" i="38"/>
  <c r="H21" i="38"/>
  <c r="H25" i="38"/>
  <c r="I18" i="38"/>
  <c r="K10" i="38"/>
  <c r="K13" i="38"/>
  <c r="K23" i="38"/>
  <c r="J13" i="38"/>
  <c r="J23" i="38"/>
  <c r="L64" i="18"/>
  <c r="L17" i="8"/>
  <c r="I21" i="38"/>
  <c r="I25" i="38"/>
  <c r="J18" i="38"/>
  <c r="K18" i="38"/>
  <c r="K21" i="38"/>
  <c r="K25" i="38"/>
  <c r="J21" i="38"/>
  <c r="J25" i="38"/>
  <c r="B17" i="28"/>
  <c r="C17" i="28"/>
  <c r="D17" i="28"/>
  <c r="E17" i="28"/>
  <c r="F17" i="28"/>
  <c r="G17" i="28"/>
  <c r="H17" i="28"/>
  <c r="B4" i="7"/>
  <c r="B35" i="7"/>
  <c r="C55" i="18"/>
  <c r="C54" i="18"/>
  <c r="D15" i="18"/>
  <c r="C15" i="18"/>
  <c r="C14" i="18"/>
  <c r="D13" i="18"/>
  <c r="C13" i="18"/>
  <c r="I56" i="17"/>
  <c r="C18" i="16"/>
  <c r="C32" i="16" s="1"/>
  <c r="C17" i="16"/>
  <c r="C16" i="16"/>
  <c r="B33" i="15"/>
  <c r="B32" i="15"/>
  <c r="B19" i="15"/>
  <c r="H30" i="12"/>
  <c r="C13" i="17"/>
  <c r="D13" i="17"/>
  <c r="E13" i="17"/>
  <c r="F13" i="17"/>
  <c r="G13" i="17"/>
  <c r="H13" i="17"/>
  <c r="I13" i="17"/>
  <c r="C33" i="15"/>
  <c r="B9" i="30"/>
  <c r="B8" i="29"/>
  <c r="J26" i="16"/>
  <c r="H7" i="31"/>
  <c r="H9" i="31"/>
  <c r="C32" i="15"/>
  <c r="C53" i="17"/>
  <c r="H6" i="22"/>
  <c r="G6" i="22"/>
  <c r="H5" i="22"/>
  <c r="G5" i="22"/>
  <c r="I4" i="22"/>
  <c r="E15" i="18"/>
  <c r="I5" i="22"/>
  <c r="I6" i="22"/>
  <c r="C7" i="12"/>
  <c r="J4" i="22"/>
  <c r="F15" i="18"/>
  <c r="J5" i="22"/>
  <c r="J6" i="22"/>
  <c r="D7" i="12"/>
  <c r="K4" i="22"/>
  <c r="G15" i="18"/>
  <c r="K5" i="22"/>
  <c r="K6" i="22"/>
  <c r="E7" i="12"/>
  <c r="L4" i="22"/>
  <c r="H15" i="18"/>
  <c r="L6" i="22"/>
  <c r="L5" i="22"/>
  <c r="F7" i="12"/>
  <c r="M4" i="22"/>
  <c r="I15" i="18"/>
  <c r="M5" i="22"/>
  <c r="M6" i="22"/>
  <c r="G7" i="12"/>
  <c r="H7" i="12"/>
  <c r="C3" i="21"/>
  <c r="C46" i="18"/>
  <c r="B15" i="6"/>
  <c r="C27" i="10"/>
  <c r="B10" i="23"/>
  <c r="D46" i="18"/>
  <c r="C15" i="6"/>
  <c r="D27" i="10"/>
  <c r="C10" i="23"/>
  <c r="D3" i="21"/>
  <c r="C62" i="18"/>
  <c r="C63" i="18"/>
  <c r="C61" i="18"/>
  <c r="B61" i="18"/>
  <c r="C52" i="18"/>
  <c r="B34" i="18"/>
  <c r="B36" i="18"/>
  <c r="B33" i="18"/>
  <c r="I19" i="13"/>
  <c r="B6" i="24"/>
  <c r="D16" i="10"/>
  <c r="E16" i="10"/>
  <c r="F16" i="10"/>
  <c r="G16" i="10"/>
  <c r="H16" i="10"/>
  <c r="I16" i="10"/>
  <c r="J16" i="10"/>
  <c r="K16" i="10"/>
  <c r="L16" i="10"/>
  <c r="D9" i="10"/>
  <c r="E9" i="10"/>
  <c r="F9" i="10"/>
  <c r="G9" i="10"/>
  <c r="H9" i="10"/>
  <c r="I9" i="10"/>
  <c r="J9" i="10"/>
  <c r="K9" i="10"/>
  <c r="L9" i="10"/>
  <c r="D15" i="10"/>
  <c r="E15" i="10"/>
  <c r="F15" i="10"/>
  <c r="G15" i="10"/>
  <c r="H15" i="10"/>
  <c r="I15" i="10"/>
  <c r="J15" i="10"/>
  <c r="K15" i="10"/>
  <c r="L15" i="10"/>
  <c r="D14" i="10"/>
  <c r="E14" i="10"/>
  <c r="F14" i="10"/>
  <c r="G14" i="10"/>
  <c r="H14" i="10"/>
  <c r="I14" i="10"/>
  <c r="J14" i="10"/>
  <c r="K14" i="10"/>
  <c r="L14" i="10"/>
  <c r="D12" i="10"/>
  <c r="E12" i="10"/>
  <c r="F12" i="10"/>
  <c r="G12" i="10"/>
  <c r="H12" i="10"/>
  <c r="I12" i="10"/>
  <c r="J12" i="10"/>
  <c r="K12" i="10"/>
  <c r="L12" i="10"/>
  <c r="D7" i="10"/>
  <c r="E7" i="10"/>
  <c r="F7" i="10"/>
  <c r="G7" i="10"/>
  <c r="H7" i="10"/>
  <c r="I7" i="10"/>
  <c r="J7" i="10"/>
  <c r="K7" i="10"/>
  <c r="L7" i="10"/>
  <c r="D6" i="10"/>
  <c r="D10" i="10"/>
  <c r="E10" i="10"/>
  <c r="F10" i="10"/>
  <c r="G10" i="10"/>
  <c r="H10" i="10"/>
  <c r="I10" i="10"/>
  <c r="J10" i="10"/>
  <c r="K10" i="10"/>
  <c r="L10" i="10"/>
  <c r="D26" i="10"/>
  <c r="E26" i="10"/>
  <c r="F26" i="10"/>
  <c r="G26" i="10"/>
  <c r="H26" i="10"/>
  <c r="I26" i="10"/>
  <c r="J26" i="10"/>
  <c r="K26" i="10"/>
  <c r="L26" i="10"/>
  <c r="E6" i="2"/>
  <c r="E46" i="18"/>
  <c r="E27" i="10"/>
  <c r="D15" i="6"/>
  <c r="D10" i="23"/>
  <c r="E3" i="21"/>
  <c r="E6" i="10"/>
  <c r="O16" i="10"/>
  <c r="C15" i="16"/>
  <c r="F46" i="18"/>
  <c r="E15" i="6"/>
  <c r="F27" i="10"/>
  <c r="E10" i="23"/>
  <c r="F3" i="21"/>
  <c r="F6" i="10"/>
  <c r="G3" i="21"/>
  <c r="G46" i="18"/>
  <c r="G27" i="10"/>
  <c r="F15" i="6"/>
  <c r="F10" i="23"/>
  <c r="B28" i="15"/>
  <c r="B30" i="15" s="1"/>
  <c r="G6" i="10"/>
  <c r="H3" i="21"/>
  <c r="H46" i="18"/>
  <c r="H27" i="10"/>
  <c r="G15" i="6"/>
  <c r="G10" i="23"/>
  <c r="H6" i="10"/>
  <c r="I46" i="18"/>
  <c r="H15" i="6"/>
  <c r="I27" i="10"/>
  <c r="H10" i="23"/>
  <c r="I6" i="10"/>
  <c r="J6" i="10"/>
  <c r="K6" i="10"/>
  <c r="L6" i="10"/>
  <c r="E18" i="9"/>
  <c r="B12" i="8"/>
  <c r="B11" i="12"/>
  <c r="B49" i="7"/>
  <c r="B37" i="7"/>
  <c r="B63" i="18"/>
  <c r="B45" i="7"/>
  <c r="B41" i="7"/>
  <c r="G18" i="9"/>
  <c r="D61" i="18"/>
  <c r="D63" i="18"/>
  <c r="B8" i="8"/>
  <c r="B4" i="8"/>
  <c r="D62" i="18"/>
  <c r="D9" i="8"/>
  <c r="D5" i="8"/>
  <c r="B36" i="7"/>
  <c r="B62" i="18"/>
  <c r="E61" i="18"/>
  <c r="E5" i="8"/>
  <c r="E63" i="18"/>
  <c r="E62" i="18"/>
  <c r="E9" i="8"/>
  <c r="F61" i="18"/>
  <c r="F5" i="8"/>
  <c r="F63" i="18"/>
  <c r="G62" i="18"/>
  <c r="G9" i="8"/>
  <c r="F62" i="18"/>
  <c r="F9" i="8"/>
  <c r="G61" i="18"/>
  <c r="G5" i="8"/>
  <c r="G63" i="18"/>
  <c r="H62" i="18"/>
  <c r="H9" i="8"/>
  <c r="J9" i="8"/>
  <c r="J62" i="18"/>
  <c r="H61" i="18"/>
  <c r="H5" i="8"/>
  <c r="H63" i="18"/>
  <c r="I62" i="18"/>
  <c r="I9" i="8"/>
  <c r="D8" i="1"/>
  <c r="J63" i="18"/>
  <c r="J13" i="8"/>
  <c r="K9" i="8"/>
  <c r="K62" i="18"/>
  <c r="J61" i="18"/>
  <c r="J5" i="8"/>
  <c r="D14" i="18"/>
  <c r="I5" i="8"/>
  <c r="I61" i="18"/>
  <c r="I63" i="18"/>
  <c r="E13" i="18"/>
  <c r="K63" i="18"/>
  <c r="K13" i="8"/>
  <c r="L62" i="18"/>
  <c r="L9" i="8"/>
  <c r="K5" i="8"/>
  <c r="K61" i="18"/>
  <c r="F13" i="18"/>
  <c r="L63" i="18"/>
  <c r="L13" i="8"/>
  <c r="L5" i="8"/>
  <c r="L61" i="18"/>
  <c r="E14" i="18"/>
  <c r="G13" i="18"/>
  <c r="F14" i="18"/>
  <c r="C11" i="23"/>
  <c r="H13" i="18"/>
  <c r="G14" i="18"/>
  <c r="J13" i="18"/>
  <c r="I12" i="4"/>
  <c r="H14" i="18"/>
  <c r="I13" i="18"/>
  <c r="I29" i="38"/>
  <c r="I27" i="38"/>
  <c r="J14" i="18"/>
  <c r="I42" i="4"/>
  <c r="K13" i="18"/>
  <c r="J12" i="4"/>
  <c r="I14" i="18"/>
  <c r="C13" i="4"/>
  <c r="D52" i="18" s="1"/>
  <c r="J27" i="38"/>
  <c r="J29" i="38"/>
  <c r="I23" i="4"/>
  <c r="I22" i="4"/>
  <c r="I21" i="4"/>
  <c r="I20" i="4"/>
  <c r="J18" i="7"/>
  <c r="J38" i="10"/>
  <c r="J33" i="18"/>
  <c r="J6" i="7"/>
  <c r="J34" i="18"/>
  <c r="I7" i="5"/>
  <c r="J12" i="7"/>
  <c r="J42" i="4"/>
  <c r="L13" i="18"/>
  <c r="K12" i="4"/>
  <c r="K14" i="18"/>
  <c r="D11" i="23"/>
  <c r="F24" i="16"/>
  <c r="F12" i="4"/>
  <c r="C12" i="4"/>
  <c r="D12" i="4"/>
  <c r="G12" i="4"/>
  <c r="H12" i="4"/>
  <c r="B27" i="38"/>
  <c r="E12" i="4"/>
  <c r="E27" i="38"/>
  <c r="E29" i="38"/>
  <c r="D29" i="38"/>
  <c r="D27" i="38"/>
  <c r="G29" i="38"/>
  <c r="G27" i="38"/>
  <c r="K27" i="38"/>
  <c r="K29" i="38"/>
  <c r="C27" i="38"/>
  <c r="C29" i="38"/>
  <c r="H29" i="38"/>
  <c r="H27" i="38"/>
  <c r="F27" i="38"/>
  <c r="F29" i="38"/>
  <c r="G21" i="4"/>
  <c r="G20" i="4"/>
  <c r="G23" i="4"/>
  <c r="G22" i="4"/>
  <c r="E23" i="4"/>
  <c r="E22" i="4"/>
  <c r="E21" i="4"/>
  <c r="E20" i="4"/>
  <c r="F22" i="4"/>
  <c r="F21" i="4"/>
  <c r="F20" i="4"/>
  <c r="F23" i="4"/>
  <c r="H20" i="4"/>
  <c r="H23" i="4"/>
  <c r="H22" i="4"/>
  <c r="H21" i="4"/>
  <c r="J22" i="4"/>
  <c r="J21" i="4"/>
  <c r="J20" i="4"/>
  <c r="J23" i="4"/>
  <c r="C21" i="4"/>
  <c r="C20" i="4"/>
  <c r="C23" i="4"/>
  <c r="C22" i="4"/>
  <c r="D20" i="4"/>
  <c r="D23" i="4"/>
  <c r="D22" i="4"/>
  <c r="D21" i="4"/>
  <c r="B23" i="4"/>
  <c r="B22" i="4"/>
  <c r="B21" i="4"/>
  <c r="B20" i="4"/>
  <c r="H38" i="10"/>
  <c r="F38" i="10"/>
  <c r="G38" i="10"/>
  <c r="I38" i="10"/>
  <c r="K18" i="7"/>
  <c r="K38" i="10"/>
  <c r="D38" i="10"/>
  <c r="E38" i="10"/>
  <c r="G4" i="28"/>
  <c r="G6" i="28"/>
  <c r="G7" i="28"/>
  <c r="G8" i="28"/>
  <c r="H4" i="28"/>
  <c r="H6" i="28"/>
  <c r="H7" i="28"/>
  <c r="H8" i="28"/>
  <c r="J24" i="7"/>
  <c r="J26" i="7"/>
  <c r="I45" i="4"/>
  <c r="J41" i="10"/>
  <c r="F4" i="28"/>
  <c r="F6" i="28"/>
  <c r="F7" i="28"/>
  <c r="F8" i="28"/>
  <c r="C4" i="28"/>
  <c r="C6" i="28"/>
  <c r="C7" i="28"/>
  <c r="C8" i="28"/>
  <c r="D4" i="28"/>
  <c r="D6" i="28"/>
  <c r="D7" i="28"/>
  <c r="D8" i="28"/>
  <c r="K33" i="18"/>
  <c r="I8" i="5"/>
  <c r="L14" i="18"/>
  <c r="K42" i="4"/>
  <c r="K6" i="7"/>
  <c r="K12" i="7"/>
  <c r="K34" i="18"/>
  <c r="J7" i="5"/>
  <c r="B4" i="28"/>
  <c r="B6" i="28"/>
  <c r="B7" i="28"/>
  <c r="B8" i="28"/>
  <c r="C14" i="4"/>
  <c r="C6" i="12" s="1"/>
  <c r="F34" i="18"/>
  <c r="F6" i="7"/>
  <c r="E7" i="5"/>
  <c r="E8" i="5"/>
  <c r="F12" i="7"/>
  <c r="I34" i="18"/>
  <c r="I6" i="7"/>
  <c r="H7" i="5"/>
  <c r="I12" i="7"/>
  <c r="E12" i="7"/>
  <c r="E34" i="18"/>
  <c r="D7" i="5"/>
  <c r="D8" i="5"/>
  <c r="E6" i="7"/>
  <c r="F7" i="5"/>
  <c r="F8" i="5"/>
  <c r="G6" i="7"/>
  <c r="G34" i="18"/>
  <c r="G12" i="7"/>
  <c r="E4" i="28"/>
  <c r="E6" i="28"/>
  <c r="E7" i="28"/>
  <c r="E8" i="28"/>
  <c r="E24" i="4"/>
  <c r="H6" i="7"/>
  <c r="H34" i="18"/>
  <c r="G7" i="5"/>
  <c r="G8" i="5"/>
  <c r="H12" i="7"/>
  <c r="D6" i="7"/>
  <c r="D34" i="18"/>
  <c r="C7" i="5"/>
  <c r="C8" i="5"/>
  <c r="C16" i="5"/>
  <c r="D15" i="5" s="1"/>
  <c r="D12" i="7"/>
  <c r="F11" i="23"/>
  <c r="H24" i="16"/>
  <c r="E11" i="23"/>
  <c r="G24" i="16"/>
  <c r="D42" i="4"/>
  <c r="C24" i="4"/>
  <c r="C42" i="4"/>
  <c r="E42" i="4"/>
  <c r="D24" i="4"/>
  <c r="F42" i="4"/>
  <c r="F24" i="4"/>
  <c r="J39" i="10"/>
  <c r="J32" i="10"/>
  <c r="J36" i="18"/>
  <c r="J5" i="39"/>
  <c r="K21" i="4"/>
  <c r="K20" i="4"/>
  <c r="K23" i="4"/>
  <c r="K22" i="4"/>
  <c r="L18" i="7"/>
  <c r="L38" i="10"/>
  <c r="J33" i="10"/>
  <c r="K24" i="7"/>
  <c r="K26" i="7"/>
  <c r="K23" i="7"/>
  <c r="J55" i="7"/>
  <c r="K54" i="7"/>
  <c r="L33" i="18"/>
  <c r="L34" i="18"/>
  <c r="K7" i="5"/>
  <c r="L6" i="7"/>
  <c r="L12" i="7"/>
  <c r="J45" i="4"/>
  <c r="J8" i="5"/>
  <c r="J5" i="5"/>
  <c r="H8" i="5"/>
  <c r="E33" i="18"/>
  <c r="D45" i="4"/>
  <c r="G33" i="18"/>
  <c r="F45" i="4"/>
  <c r="D33" i="18"/>
  <c r="C45" i="4"/>
  <c r="C33" i="18"/>
  <c r="F33" i="18"/>
  <c r="E45" i="4"/>
  <c r="H24" i="4"/>
  <c r="H42" i="4"/>
  <c r="G24" i="4"/>
  <c r="G42" i="4"/>
  <c r="I5" i="5"/>
  <c r="I6" i="5"/>
  <c r="I3" i="6"/>
  <c r="K5" i="39"/>
  <c r="K10" i="39"/>
  <c r="K12" i="39"/>
  <c r="K41" i="10"/>
  <c r="D5" i="39"/>
  <c r="D10" i="39"/>
  <c r="D12" i="39"/>
  <c r="D41" i="10"/>
  <c r="E5" i="39"/>
  <c r="E10" i="39"/>
  <c r="E12" i="39"/>
  <c r="E41" i="10"/>
  <c r="F5" i="39"/>
  <c r="F10" i="39"/>
  <c r="F12" i="39"/>
  <c r="F41" i="10"/>
  <c r="G5" i="39"/>
  <c r="G10" i="39"/>
  <c r="G12" i="39"/>
  <c r="G41" i="10"/>
  <c r="J6" i="5"/>
  <c r="J3" i="6"/>
  <c r="J10" i="39"/>
  <c r="J12" i="39"/>
  <c r="J7" i="39"/>
  <c r="L24" i="7"/>
  <c r="L26" i="7"/>
  <c r="L55" i="7"/>
  <c r="H23" i="7"/>
  <c r="H25" i="7"/>
  <c r="L23" i="7"/>
  <c r="K55" i="7"/>
  <c r="L54" i="7"/>
  <c r="F23" i="7"/>
  <c r="F25" i="7"/>
  <c r="G23" i="7"/>
  <c r="G25" i="7"/>
  <c r="J23" i="7"/>
  <c r="J25" i="7"/>
  <c r="J16" i="8"/>
  <c r="J18" i="8"/>
  <c r="J54" i="7"/>
  <c r="I23" i="7"/>
  <c r="I25" i="7"/>
  <c r="E23" i="7"/>
  <c r="E25" i="7"/>
  <c r="K25" i="7"/>
  <c r="K16" i="8"/>
  <c r="K18" i="8"/>
  <c r="D23" i="7"/>
  <c r="D25" i="7"/>
  <c r="K45" i="4"/>
  <c r="L41" i="10"/>
  <c r="K33" i="10"/>
  <c r="K32" i="10"/>
  <c r="K39" i="10"/>
  <c r="K36" i="18"/>
  <c r="K5" i="5"/>
  <c r="K8" i="5"/>
  <c r="C5" i="5"/>
  <c r="D5" i="5"/>
  <c r="D6" i="5"/>
  <c r="D3" i="6"/>
  <c r="G5" i="5"/>
  <c r="G6" i="5"/>
  <c r="G3" i="6"/>
  <c r="E5" i="5"/>
  <c r="E6" i="5"/>
  <c r="E3" i="6"/>
  <c r="F5" i="5"/>
  <c r="F6" i="5"/>
  <c r="F3" i="6"/>
  <c r="H5" i="5"/>
  <c r="H6" i="5"/>
  <c r="H3" i="6"/>
  <c r="H11" i="23"/>
  <c r="J24" i="16"/>
  <c r="G11" i="23"/>
  <c r="I24" i="16"/>
  <c r="H33" i="18"/>
  <c r="G45" i="4"/>
  <c r="I33" i="18"/>
  <c r="H45" i="4"/>
  <c r="G39" i="10"/>
  <c r="G33" i="10"/>
  <c r="G36" i="18"/>
  <c r="G32" i="10"/>
  <c r="F36" i="18"/>
  <c r="F39" i="10"/>
  <c r="F33" i="10"/>
  <c r="F32" i="10"/>
  <c r="D39" i="10"/>
  <c r="D33" i="10"/>
  <c r="D36" i="18"/>
  <c r="D32" i="10"/>
  <c r="E36" i="18"/>
  <c r="E33" i="10"/>
  <c r="E39" i="10"/>
  <c r="E32" i="10"/>
  <c r="C16" i="3"/>
  <c r="D16" i="3"/>
  <c r="E16" i="3"/>
  <c r="F16" i="3"/>
  <c r="G16" i="3"/>
  <c r="H16" i="3"/>
  <c r="I16" i="3"/>
  <c r="J16" i="3"/>
  <c r="K16" i="3"/>
  <c r="L16" i="3"/>
  <c r="F7" i="39"/>
  <c r="E8" i="12"/>
  <c r="I8" i="12"/>
  <c r="I18" i="36"/>
  <c r="D7" i="39"/>
  <c r="C8" i="12"/>
  <c r="K7" i="39"/>
  <c r="J8" i="12"/>
  <c r="G7" i="39"/>
  <c r="F8" i="12"/>
  <c r="E7" i="39"/>
  <c r="D8" i="12"/>
  <c r="H5" i="39"/>
  <c r="H7" i="39"/>
  <c r="H41" i="10"/>
  <c r="I5" i="39"/>
  <c r="I10" i="39"/>
  <c r="I12" i="39"/>
  <c r="I41" i="10"/>
  <c r="C6" i="5"/>
  <c r="C3" i="6"/>
  <c r="L33" i="10"/>
  <c r="L5" i="39"/>
  <c r="L25" i="7"/>
  <c r="L16" i="8"/>
  <c r="L18" i="8"/>
  <c r="K6" i="5"/>
  <c r="K3" i="6"/>
  <c r="B11" i="6"/>
  <c r="L36" i="18"/>
  <c r="L39" i="10"/>
  <c r="L32" i="10"/>
  <c r="E24" i="16"/>
  <c r="B11" i="23"/>
  <c r="D24" i="16"/>
  <c r="I36" i="18"/>
  <c r="I39" i="10"/>
  <c r="I33" i="10"/>
  <c r="I32" i="10"/>
  <c r="H39" i="10"/>
  <c r="H33" i="10"/>
  <c r="H36" i="18"/>
  <c r="H32" i="10"/>
  <c r="D11" i="7"/>
  <c r="D5" i="7"/>
  <c r="C17" i="3"/>
  <c r="D15" i="3"/>
  <c r="D17" i="3"/>
  <c r="E15" i="3"/>
  <c r="E17" i="3"/>
  <c r="F15" i="3"/>
  <c r="F17" i="3"/>
  <c r="G15" i="3"/>
  <c r="G17" i="3"/>
  <c r="H15" i="3"/>
  <c r="H17" i="3"/>
  <c r="I15" i="3"/>
  <c r="I17" i="3"/>
  <c r="J15" i="3"/>
  <c r="J17" i="3"/>
  <c r="K15" i="3"/>
  <c r="K17" i="3"/>
  <c r="L15" i="3"/>
  <c r="L17" i="3"/>
  <c r="P5" i="3"/>
  <c r="P15" i="3"/>
  <c r="C6" i="3"/>
  <c r="D46" i="7"/>
  <c r="I44" i="36"/>
  <c r="I31" i="36"/>
  <c r="I5" i="36"/>
  <c r="I7" i="39"/>
  <c r="H8" i="12"/>
  <c r="H10" i="39"/>
  <c r="H12" i="39"/>
  <c r="G8" i="12"/>
  <c r="F31" i="36"/>
  <c r="F5" i="36"/>
  <c r="F44" i="36"/>
  <c r="F18" i="36"/>
  <c r="J31" i="36"/>
  <c r="J5" i="36"/>
  <c r="J44" i="36"/>
  <c r="J18" i="36"/>
  <c r="C31" i="36"/>
  <c r="C44" i="36"/>
  <c r="C18" i="36"/>
  <c r="C5" i="36"/>
  <c r="D44" i="36"/>
  <c r="D18" i="36"/>
  <c r="D31" i="36"/>
  <c r="D5" i="36"/>
  <c r="E44" i="36"/>
  <c r="E18" i="36"/>
  <c r="E31" i="36"/>
  <c r="E5" i="36"/>
  <c r="C11" i="6"/>
  <c r="D14" i="7"/>
  <c r="D13" i="7"/>
  <c r="D8" i="8"/>
  <c r="D10" i="8"/>
  <c r="D8" i="7"/>
  <c r="L10" i="39"/>
  <c r="L12" i="39"/>
  <c r="L7" i="39"/>
  <c r="D42" i="7"/>
  <c r="P16" i="3"/>
  <c r="P17" i="3"/>
  <c r="Q15" i="3"/>
  <c r="D6" i="3"/>
  <c r="C7" i="3"/>
  <c r="P6" i="3"/>
  <c r="P7" i="3"/>
  <c r="H44" i="36"/>
  <c r="H18" i="36"/>
  <c r="H31" i="36"/>
  <c r="H5" i="36"/>
  <c r="G5" i="36"/>
  <c r="G44" i="36"/>
  <c r="G18" i="36"/>
  <c r="G31" i="36"/>
  <c r="E5" i="7"/>
  <c r="D43" i="7"/>
  <c r="D7" i="7"/>
  <c r="D4" i="8"/>
  <c r="D47" i="7"/>
  <c r="E11" i="7"/>
  <c r="E14" i="7"/>
  <c r="F11" i="7"/>
  <c r="D19" i="7"/>
  <c r="K8" i="12"/>
  <c r="Q16" i="3"/>
  <c r="Q17" i="3"/>
  <c r="R15" i="3"/>
  <c r="Q5" i="3"/>
  <c r="E6" i="3"/>
  <c r="D5" i="3"/>
  <c r="E42" i="7"/>
  <c r="E47" i="7"/>
  <c r="K44" i="36"/>
  <c r="K18" i="36"/>
  <c r="K31" i="36"/>
  <c r="K5" i="36"/>
  <c r="E13" i="7"/>
  <c r="E8" i="8"/>
  <c r="E10" i="8"/>
  <c r="E19" i="7"/>
  <c r="D40" i="10"/>
  <c r="D6" i="8"/>
  <c r="E46" i="7"/>
  <c r="E8" i="7"/>
  <c r="F14" i="7"/>
  <c r="F6" i="3"/>
  <c r="R16" i="3"/>
  <c r="R17" i="3"/>
  <c r="S15" i="3"/>
  <c r="D7" i="3"/>
  <c r="Q6" i="3"/>
  <c r="F46" i="7"/>
  <c r="E43" i="7"/>
  <c r="F5" i="7"/>
  <c r="E7" i="7"/>
  <c r="E4" i="8"/>
  <c r="F47" i="7"/>
  <c r="G11" i="7"/>
  <c r="F13" i="7"/>
  <c r="F8" i="8"/>
  <c r="S16" i="3"/>
  <c r="S17" i="3"/>
  <c r="T15" i="3"/>
  <c r="E5" i="3"/>
  <c r="G6" i="3"/>
  <c r="Q7" i="3"/>
  <c r="F42" i="7"/>
  <c r="E6" i="8"/>
  <c r="E40" i="10"/>
  <c r="F19" i="7"/>
  <c r="F8" i="7"/>
  <c r="G14" i="7"/>
  <c r="G13" i="7"/>
  <c r="G8" i="8"/>
  <c r="G46" i="7"/>
  <c r="F10" i="8"/>
  <c r="T16" i="3"/>
  <c r="T17" i="3"/>
  <c r="U15" i="3"/>
  <c r="R5" i="3"/>
  <c r="E7" i="3"/>
  <c r="H6" i="3"/>
  <c r="F43" i="7"/>
  <c r="G5" i="7"/>
  <c r="F7" i="7"/>
  <c r="F4" i="8"/>
  <c r="G10" i="8"/>
  <c r="H11" i="7"/>
  <c r="G47" i="7"/>
  <c r="R6" i="3"/>
  <c r="I6" i="3"/>
  <c r="J6" i="3"/>
  <c r="U16" i="3"/>
  <c r="U17" i="3"/>
  <c r="V15" i="3"/>
  <c r="F5" i="3"/>
  <c r="G42" i="7"/>
  <c r="F40" i="10"/>
  <c r="F6" i="8"/>
  <c r="G19" i="7"/>
  <c r="G8" i="7"/>
  <c r="H14" i="7"/>
  <c r="H46" i="7"/>
  <c r="K6" i="3"/>
  <c r="R7" i="3"/>
  <c r="S5" i="3"/>
  <c r="V16" i="3"/>
  <c r="V17" i="3"/>
  <c r="W15" i="3"/>
  <c r="W16" i="3"/>
  <c r="W17" i="3"/>
  <c r="X15" i="3"/>
  <c r="X16" i="3"/>
  <c r="X17" i="3"/>
  <c r="Y15" i="3"/>
  <c r="F7" i="3"/>
  <c r="Y16" i="3"/>
  <c r="Y17" i="3"/>
  <c r="G43" i="7"/>
  <c r="H5" i="7"/>
  <c r="H8" i="7"/>
  <c r="G7" i="7"/>
  <c r="G4" i="8"/>
  <c r="I11" i="7"/>
  <c r="H47" i="7"/>
  <c r="H13" i="7"/>
  <c r="H8" i="8"/>
  <c r="L6" i="3"/>
  <c r="G5" i="3"/>
  <c r="S6" i="3"/>
  <c r="S7" i="3"/>
  <c r="H7" i="7"/>
  <c r="H4" i="8"/>
  <c r="H43" i="7"/>
  <c r="I5" i="7"/>
  <c r="H42" i="7"/>
  <c r="G40" i="10"/>
  <c r="G6" i="8"/>
  <c r="H10" i="8"/>
  <c r="I14" i="7"/>
  <c r="I13" i="7"/>
  <c r="I8" i="8"/>
  <c r="I10" i="8"/>
  <c r="I46" i="7"/>
  <c r="T5" i="3"/>
  <c r="G7" i="3"/>
  <c r="I42" i="7"/>
  <c r="I8" i="7"/>
  <c r="I7" i="7"/>
  <c r="I4" i="8"/>
  <c r="H19" i="7"/>
  <c r="H6" i="8"/>
  <c r="J11" i="7"/>
  <c r="I47" i="7"/>
  <c r="T6" i="3"/>
  <c r="H5" i="3"/>
  <c r="H40" i="10"/>
  <c r="I19" i="7"/>
  <c r="J50" i="7"/>
  <c r="J17" i="7"/>
  <c r="I6" i="8"/>
  <c r="J5" i="7"/>
  <c r="I43" i="7"/>
  <c r="J46" i="7"/>
  <c r="J14" i="7"/>
  <c r="J13" i="7"/>
  <c r="J8" i="8"/>
  <c r="J10" i="8"/>
  <c r="H7" i="3"/>
  <c r="T7" i="3"/>
  <c r="J42" i="7"/>
  <c r="J20" i="7"/>
  <c r="J19" i="7"/>
  <c r="J12" i="8"/>
  <c r="J14" i="8"/>
  <c r="J8" i="7"/>
  <c r="I40" i="10"/>
  <c r="J47" i="7"/>
  <c r="K11" i="7"/>
  <c r="I5" i="3"/>
  <c r="U5" i="3"/>
  <c r="K5" i="7"/>
  <c r="K8" i="7"/>
  <c r="J43" i="7"/>
  <c r="J7" i="7"/>
  <c r="J4" i="8"/>
  <c r="K17" i="7"/>
  <c r="J51" i="7"/>
  <c r="K50" i="7"/>
  <c r="K14" i="7"/>
  <c r="K46" i="7"/>
  <c r="U6" i="3"/>
  <c r="I7" i="3"/>
  <c r="J5" i="3"/>
  <c r="K42" i="7"/>
  <c r="J40" i="10"/>
  <c r="J6" i="8"/>
  <c r="K20" i="7"/>
  <c r="K19" i="7"/>
  <c r="K12" i="8"/>
  <c r="K14" i="8"/>
  <c r="K7" i="7"/>
  <c r="K4" i="8"/>
  <c r="K43" i="7"/>
  <c r="L5" i="7"/>
  <c r="L8" i="7"/>
  <c r="L43" i="7"/>
  <c r="K47" i="7"/>
  <c r="L11" i="7"/>
  <c r="K13" i="7"/>
  <c r="K8" i="8"/>
  <c r="J7" i="3"/>
  <c r="U7" i="3"/>
  <c r="L42" i="7"/>
  <c r="L7" i="7"/>
  <c r="L4" i="8"/>
  <c r="L6" i="8"/>
  <c r="K40" i="10"/>
  <c r="K6" i="8"/>
  <c r="K51" i="7"/>
  <c r="L50" i="7"/>
  <c r="L17" i="7"/>
  <c r="K10" i="8"/>
  <c r="L14" i="7"/>
  <c r="L47" i="7"/>
  <c r="L46" i="7"/>
  <c r="K5" i="3"/>
  <c r="V5" i="3"/>
  <c r="L13" i="7"/>
  <c r="L8" i="8"/>
  <c r="L10" i="8"/>
  <c r="L20" i="7"/>
  <c r="L51" i="7"/>
  <c r="K7" i="3"/>
  <c r="V6" i="3"/>
  <c r="L19" i="7"/>
  <c r="L12" i="8"/>
  <c r="L14" i="8"/>
  <c r="L5" i="3"/>
  <c r="V7" i="3"/>
  <c r="W5" i="3"/>
  <c r="L40" i="10"/>
  <c r="W6" i="3"/>
  <c r="L7" i="3"/>
  <c r="E6" i="1"/>
  <c r="W7" i="3"/>
  <c r="E13" i="1"/>
  <c r="E14" i="1"/>
  <c r="D33" i="15"/>
  <c r="E33" i="15"/>
  <c r="F33" i="15"/>
  <c r="G33" i="15"/>
  <c r="H33" i="15"/>
  <c r="I33" i="15"/>
  <c r="J33" i="15"/>
  <c r="K33" i="15"/>
  <c r="L33" i="15"/>
  <c r="X5" i="3"/>
  <c r="X6" i="3"/>
  <c r="X7" i="3"/>
  <c r="B8" i="14"/>
  <c r="D24" i="10"/>
  <c r="Y5" i="3"/>
  <c r="C8" i="29"/>
  <c r="D32" i="15"/>
  <c r="E32" i="15" s="1"/>
  <c r="E24" i="10"/>
  <c r="F24" i="10" s="1"/>
  <c r="G24" i="10" s="1"/>
  <c r="H24" i="10" s="1"/>
  <c r="I24" i="10" s="1"/>
  <c r="J24" i="10" s="1"/>
  <c r="K24" i="10" s="1"/>
  <c r="L24" i="10" s="1"/>
  <c r="Y6" i="3"/>
  <c r="Y7" i="3"/>
  <c r="E7" i="17"/>
  <c r="D8" i="14"/>
  <c r="B20" i="15"/>
  <c r="C6" i="16"/>
  <c r="C8" i="13"/>
  <c r="G8" i="13"/>
  <c r="C9" i="13"/>
  <c r="D8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D9" i="13"/>
  <c r="G9" i="13"/>
  <c r="C10" i="13"/>
  <c r="G10" i="13"/>
  <c r="C11" i="13"/>
  <c r="D10" i="13"/>
  <c r="D11" i="13"/>
  <c r="G11" i="13"/>
  <c r="C12" i="13"/>
  <c r="G12" i="13"/>
  <c r="C13" i="13"/>
  <c r="D12" i="13"/>
  <c r="D13" i="13"/>
  <c r="G13" i="13"/>
  <c r="C14" i="13"/>
  <c r="D14" i="13"/>
  <c r="G14" i="13"/>
  <c r="C15" i="13"/>
  <c r="D15" i="13"/>
  <c r="G15" i="13"/>
  <c r="C16" i="13"/>
  <c r="D16" i="13"/>
  <c r="G16" i="13"/>
  <c r="C17" i="13"/>
  <c r="D17" i="13"/>
  <c r="G17" i="13"/>
  <c r="C18" i="13"/>
  <c r="D18" i="13"/>
  <c r="G18" i="13"/>
  <c r="C19" i="13"/>
  <c r="D19" i="13"/>
  <c r="H19" i="13"/>
  <c r="G19" i="13"/>
  <c r="B7" i="24"/>
  <c r="C4" i="24"/>
  <c r="B5" i="24"/>
  <c r="C20" i="13"/>
  <c r="E20" i="13"/>
  <c r="D20" i="13"/>
  <c r="F20" i="13"/>
  <c r="G20" i="13"/>
  <c r="C21" i="13"/>
  <c r="E84" i="13"/>
  <c r="E70" i="13"/>
  <c r="E54" i="13"/>
  <c r="E36" i="13"/>
  <c r="E22" i="13"/>
  <c r="E79" i="13"/>
  <c r="E61" i="13"/>
  <c r="E47" i="13"/>
  <c r="E31" i="13"/>
  <c r="E86" i="13"/>
  <c r="E68" i="13"/>
  <c r="E52" i="13"/>
  <c r="E38" i="13"/>
  <c r="E91" i="13"/>
  <c r="E73" i="13"/>
  <c r="E59" i="13"/>
  <c r="E43" i="13"/>
  <c r="E25" i="13"/>
  <c r="E88" i="13"/>
  <c r="E74" i="13"/>
  <c r="E56" i="13"/>
  <c r="E40" i="13"/>
  <c r="E26" i="13"/>
  <c r="E81" i="13"/>
  <c r="E65" i="13"/>
  <c r="E51" i="13"/>
  <c r="E33" i="13"/>
  <c r="E90" i="13"/>
  <c r="E72" i="13"/>
  <c r="E58" i="13"/>
  <c r="E42" i="13"/>
  <c r="E24" i="13"/>
  <c r="E77" i="13"/>
  <c r="E63" i="13"/>
  <c r="E45" i="13"/>
  <c r="E29" i="13"/>
  <c r="E78" i="13"/>
  <c r="E60" i="13"/>
  <c r="E46" i="13"/>
  <c r="E30" i="13"/>
  <c r="E85" i="13"/>
  <c r="E71" i="13"/>
  <c r="E55" i="13"/>
  <c r="E37" i="13"/>
  <c r="E23" i="13"/>
  <c r="E76" i="13"/>
  <c r="E62" i="13"/>
  <c r="E44" i="13"/>
  <c r="E28" i="13"/>
  <c r="E83" i="13"/>
  <c r="E67" i="13"/>
  <c r="E49" i="13"/>
  <c r="E35" i="13"/>
  <c r="E80" i="13"/>
  <c r="E64" i="13"/>
  <c r="E50" i="13"/>
  <c r="E32" i="13"/>
  <c r="E89" i="13"/>
  <c r="E75" i="13"/>
  <c r="E57" i="13"/>
  <c r="E41" i="13"/>
  <c r="E27" i="13"/>
  <c r="E82" i="13"/>
  <c r="E66" i="13"/>
  <c r="E48" i="13"/>
  <c r="E34" i="13"/>
  <c r="E87" i="13"/>
  <c r="E69" i="13"/>
  <c r="E53" i="13"/>
  <c r="E39" i="13"/>
  <c r="E21" i="13"/>
  <c r="I91" i="13"/>
  <c r="I43" i="13"/>
  <c r="I31" i="13"/>
  <c r="D21" i="13"/>
  <c r="G21" i="13"/>
  <c r="C22" i="13"/>
  <c r="I55" i="13"/>
  <c r="I67" i="13"/>
  <c r="I79" i="13"/>
  <c r="H6" i="24"/>
  <c r="G6" i="24"/>
  <c r="E6" i="24"/>
  <c r="D6" i="24"/>
  <c r="F6" i="24"/>
  <c r="C6" i="24"/>
  <c r="C7" i="24"/>
  <c r="F21" i="13"/>
  <c r="D22" i="13"/>
  <c r="F22" i="13"/>
  <c r="G22" i="13"/>
  <c r="C23" i="13"/>
  <c r="C20" i="15"/>
  <c r="B7" i="33"/>
  <c r="D4" i="24"/>
  <c r="D7" i="24"/>
  <c r="G23" i="13"/>
  <c r="C24" i="13"/>
  <c r="D23" i="13"/>
  <c r="F23" i="13"/>
  <c r="B9" i="33"/>
  <c r="B23" i="33"/>
  <c r="B25" i="33"/>
  <c r="D25" i="16"/>
  <c r="E4" i="24"/>
  <c r="E7" i="24"/>
  <c r="D20" i="15"/>
  <c r="D24" i="13"/>
  <c r="G24" i="13"/>
  <c r="C25" i="13"/>
  <c r="E25" i="16"/>
  <c r="C7" i="33"/>
  <c r="F4" i="24"/>
  <c r="F7" i="24"/>
  <c r="E20" i="15"/>
  <c r="F24" i="13"/>
  <c r="D25" i="13"/>
  <c r="F25" i="13"/>
  <c r="G25" i="13"/>
  <c r="C26" i="13"/>
  <c r="F25" i="16"/>
  <c r="D7" i="33"/>
  <c r="C23" i="33"/>
  <c r="C25" i="33"/>
  <c r="C9" i="33"/>
  <c r="G4" i="24"/>
  <c r="G7" i="24"/>
  <c r="F20" i="15"/>
  <c r="D26" i="13"/>
  <c r="F26" i="13"/>
  <c r="G26" i="13"/>
  <c r="C27" i="13"/>
  <c r="G25" i="16"/>
  <c r="E7" i="33"/>
  <c r="D9" i="33"/>
  <c r="D23" i="33"/>
  <c r="D25" i="33"/>
  <c r="H4" i="24"/>
  <c r="G20" i="15"/>
  <c r="G27" i="13"/>
  <c r="C28" i="13"/>
  <c r="D27" i="13"/>
  <c r="F27" i="13"/>
  <c r="H25" i="16"/>
  <c r="F7" i="33"/>
  <c r="E23" i="33"/>
  <c r="E25" i="33"/>
  <c r="E9" i="33"/>
  <c r="I7" i="24"/>
  <c r="I20" i="15"/>
  <c r="K25" i="16"/>
  <c r="H20" i="15"/>
  <c r="D28" i="13"/>
  <c r="F28" i="13"/>
  <c r="G28" i="13"/>
  <c r="C29" i="13"/>
  <c r="I25" i="16"/>
  <c r="G7" i="33"/>
  <c r="F9" i="33"/>
  <c r="F23" i="33"/>
  <c r="F25" i="33"/>
  <c r="J25" i="16"/>
  <c r="D29" i="13"/>
  <c r="F29" i="13"/>
  <c r="G29" i="13"/>
  <c r="C30" i="13"/>
  <c r="G9" i="33"/>
  <c r="G23" i="33"/>
  <c r="G25" i="33"/>
  <c r="D30" i="13"/>
  <c r="F30" i="13"/>
  <c r="G30" i="13"/>
  <c r="C31" i="13"/>
  <c r="G31" i="13"/>
  <c r="D31" i="13"/>
  <c r="C32" i="13"/>
  <c r="F31" i="13"/>
  <c r="H31" i="13"/>
  <c r="C5" i="24"/>
  <c r="B10" i="31"/>
  <c r="D32" i="13"/>
  <c r="G32" i="13"/>
  <c r="C33" i="13"/>
  <c r="B30" i="12"/>
  <c r="C56" i="17"/>
  <c r="F32" i="13"/>
  <c r="G33" i="13"/>
  <c r="C34" i="13"/>
  <c r="D33" i="13"/>
  <c r="F33" i="13"/>
  <c r="D26" i="16"/>
  <c r="B7" i="31"/>
  <c r="B9" i="31"/>
  <c r="C37" i="17"/>
  <c r="C52" i="17"/>
  <c r="D34" i="13"/>
  <c r="F34" i="13"/>
  <c r="G34" i="13"/>
  <c r="C35" i="13"/>
  <c r="D35" i="13"/>
  <c r="G35" i="13"/>
  <c r="C36" i="13"/>
  <c r="F35" i="13"/>
  <c r="D36" i="13"/>
  <c r="F36" i="13"/>
  <c r="G36" i="13"/>
  <c r="C37" i="13"/>
  <c r="G37" i="13"/>
  <c r="C38" i="13"/>
  <c r="D37" i="13"/>
  <c r="F37" i="13"/>
  <c r="D38" i="13"/>
  <c r="G38" i="13"/>
  <c r="C39" i="13"/>
  <c r="F38" i="13"/>
  <c r="D39" i="13"/>
  <c r="F39" i="13"/>
  <c r="G39" i="13"/>
  <c r="C40" i="13"/>
  <c r="D40" i="13"/>
  <c r="F40" i="13"/>
  <c r="G40" i="13"/>
  <c r="C41" i="13"/>
  <c r="G41" i="13"/>
  <c r="C42" i="13"/>
  <c r="D41" i="13"/>
  <c r="F41" i="13"/>
  <c r="D42" i="13"/>
  <c r="F42" i="13"/>
  <c r="G42" i="13"/>
  <c r="C43" i="13"/>
  <c r="D43" i="13"/>
  <c r="G43" i="13"/>
  <c r="F43" i="13"/>
  <c r="H43" i="13"/>
  <c r="C44" i="13"/>
  <c r="D5" i="24"/>
  <c r="C10" i="31"/>
  <c r="D44" i="13"/>
  <c r="G44" i="13"/>
  <c r="C45" i="13"/>
  <c r="C30" i="12"/>
  <c r="D56" i="17"/>
  <c r="F44" i="13"/>
  <c r="D45" i="13"/>
  <c r="F45" i="13"/>
  <c r="G45" i="13"/>
  <c r="C46" i="13"/>
  <c r="E26" i="16"/>
  <c r="C7" i="31"/>
  <c r="C9" i="31"/>
  <c r="D52" i="17"/>
  <c r="D37" i="17"/>
  <c r="D46" i="13"/>
  <c r="F46" i="13"/>
  <c r="G46" i="13"/>
  <c r="C47" i="13"/>
  <c r="G47" i="13"/>
  <c r="C48" i="13"/>
  <c r="D47" i="13"/>
  <c r="D48" i="13"/>
  <c r="F48" i="13"/>
  <c r="G48" i="13"/>
  <c r="C49" i="13"/>
  <c r="F47" i="13"/>
  <c r="D49" i="13"/>
  <c r="F49" i="13"/>
  <c r="G49" i="13"/>
  <c r="C50" i="13"/>
  <c r="D50" i="13"/>
  <c r="G50" i="13"/>
  <c r="C51" i="13"/>
  <c r="G51" i="13"/>
  <c r="C52" i="13"/>
  <c r="D51" i="13"/>
  <c r="F51" i="13"/>
  <c r="F50" i="13"/>
  <c r="D52" i="13"/>
  <c r="F52" i="13"/>
  <c r="G52" i="13"/>
  <c r="C53" i="13"/>
  <c r="D53" i="13"/>
  <c r="F53" i="13"/>
  <c r="G53" i="13"/>
  <c r="C54" i="13"/>
  <c r="D54" i="13"/>
  <c r="F54" i="13"/>
  <c r="G54" i="13"/>
  <c r="C55" i="13"/>
  <c r="G55" i="13"/>
  <c r="D55" i="13"/>
  <c r="F55" i="13"/>
  <c r="H55" i="13"/>
  <c r="C56" i="13"/>
  <c r="E5" i="24"/>
  <c r="D10" i="31"/>
  <c r="D56" i="13"/>
  <c r="G56" i="13"/>
  <c r="C57" i="13"/>
  <c r="D30" i="12"/>
  <c r="E56" i="17"/>
  <c r="F56" i="13"/>
  <c r="G57" i="13"/>
  <c r="C58" i="13"/>
  <c r="D57" i="13"/>
  <c r="F57" i="13"/>
  <c r="F26" i="16"/>
  <c r="D7" i="31"/>
  <c r="D9" i="31"/>
  <c r="E52" i="17"/>
  <c r="E37" i="17"/>
  <c r="D58" i="13"/>
  <c r="G58" i="13"/>
  <c r="C59" i="13"/>
  <c r="F58" i="13"/>
  <c r="D59" i="13"/>
  <c r="F59" i="13"/>
  <c r="G59" i="13"/>
  <c r="C60" i="13"/>
  <c r="D60" i="13"/>
  <c r="F60" i="13"/>
  <c r="G60" i="13"/>
  <c r="C61" i="13"/>
  <c r="G61" i="13"/>
  <c r="C62" i="13"/>
  <c r="D61" i="13"/>
  <c r="F61" i="13"/>
  <c r="D62" i="13"/>
  <c r="G62" i="13"/>
  <c r="C63" i="13"/>
  <c r="F62" i="13"/>
  <c r="D63" i="13"/>
  <c r="F63" i="13"/>
  <c r="G63" i="13"/>
  <c r="C64" i="13"/>
  <c r="D64" i="13"/>
  <c r="F64" i="13"/>
  <c r="G64" i="13"/>
  <c r="C65" i="13"/>
  <c r="G65" i="13"/>
  <c r="C66" i="13"/>
  <c r="D65" i="13"/>
  <c r="F65" i="13"/>
  <c r="D66" i="13"/>
  <c r="F66" i="13"/>
  <c r="G66" i="13"/>
  <c r="C67" i="13"/>
  <c r="D67" i="13"/>
  <c r="G67" i="13"/>
  <c r="F67" i="13"/>
  <c r="H67" i="13"/>
  <c r="C68" i="13"/>
  <c r="F5" i="24"/>
  <c r="E10" i="31"/>
  <c r="D68" i="13"/>
  <c r="G68" i="13"/>
  <c r="C69" i="13"/>
  <c r="E30" i="12"/>
  <c r="F56" i="17"/>
  <c r="F68" i="13"/>
  <c r="D69" i="13"/>
  <c r="F69" i="13"/>
  <c r="G69" i="13"/>
  <c r="C70" i="13"/>
  <c r="G26" i="16"/>
  <c r="E7" i="31"/>
  <c r="E9" i="31"/>
  <c r="F37" i="17"/>
  <c r="F52" i="17"/>
  <c r="D70" i="13"/>
  <c r="F70" i="13"/>
  <c r="G70" i="13"/>
  <c r="C71" i="13"/>
  <c r="G71" i="13"/>
  <c r="C72" i="13"/>
  <c r="D71" i="13"/>
  <c r="F71" i="13"/>
  <c r="D72" i="13"/>
  <c r="F72" i="13"/>
  <c r="G72" i="13"/>
  <c r="C73" i="13"/>
  <c r="D73" i="13"/>
  <c r="G73" i="13"/>
  <c r="C74" i="13"/>
  <c r="F73" i="13"/>
  <c r="D74" i="13"/>
  <c r="F74" i="13"/>
  <c r="G74" i="13"/>
  <c r="C75" i="13"/>
  <c r="G75" i="13"/>
  <c r="C76" i="13"/>
  <c r="D75" i="13"/>
  <c r="F75" i="13"/>
  <c r="D76" i="13"/>
  <c r="F76" i="13"/>
  <c r="G76" i="13"/>
  <c r="C77" i="13"/>
  <c r="D77" i="13"/>
  <c r="F77" i="13"/>
  <c r="G77" i="13"/>
  <c r="C78" i="13"/>
  <c r="D78" i="13"/>
  <c r="F78" i="13"/>
  <c r="G78" i="13"/>
  <c r="C79" i="13"/>
  <c r="G79" i="13"/>
  <c r="D79" i="13"/>
  <c r="C80" i="13"/>
  <c r="F79" i="13"/>
  <c r="H79" i="13"/>
  <c r="G5" i="24"/>
  <c r="F10" i="31"/>
  <c r="D80" i="13"/>
  <c r="G80" i="13"/>
  <c r="C81" i="13"/>
  <c r="F30" i="12"/>
  <c r="G56" i="17"/>
  <c r="F80" i="13"/>
  <c r="G81" i="13"/>
  <c r="C82" i="13"/>
  <c r="D81" i="13"/>
  <c r="F81" i="13"/>
  <c r="H26" i="16"/>
  <c r="F7" i="31"/>
  <c r="F9" i="31"/>
  <c r="G37" i="17"/>
  <c r="G52" i="17"/>
  <c r="D82" i="13"/>
  <c r="G82" i="13"/>
  <c r="C83" i="13"/>
  <c r="F82" i="13"/>
  <c r="D83" i="13"/>
  <c r="F83" i="13"/>
  <c r="G83" i="13"/>
  <c r="C84" i="13"/>
  <c r="G84" i="13"/>
  <c r="C85" i="13"/>
  <c r="D84" i="13"/>
  <c r="F84" i="13"/>
  <c r="G85" i="13"/>
  <c r="C86" i="13"/>
  <c r="D85" i="13"/>
  <c r="G86" i="13"/>
  <c r="C87" i="13"/>
  <c r="D86" i="13"/>
  <c r="F86" i="13"/>
  <c r="F85" i="13"/>
  <c r="D87" i="13"/>
  <c r="G87" i="13"/>
  <c r="C88" i="13"/>
  <c r="F87" i="13"/>
  <c r="D88" i="13"/>
  <c r="F88" i="13"/>
  <c r="G88" i="13"/>
  <c r="C89" i="13"/>
  <c r="G89" i="13"/>
  <c r="C90" i="13"/>
  <c r="D89" i="13"/>
  <c r="F89" i="13"/>
  <c r="G90" i="13"/>
  <c r="C91" i="13"/>
  <c r="D90" i="13"/>
  <c r="F90" i="13"/>
  <c r="D91" i="13"/>
  <c r="G91" i="13"/>
  <c r="F91" i="13"/>
  <c r="H91" i="13"/>
  <c r="H5" i="24"/>
  <c r="G10" i="31"/>
  <c r="I37" i="17"/>
  <c r="I52" i="17"/>
  <c r="G30" i="12"/>
  <c r="H56" i="17"/>
  <c r="I26" i="16"/>
  <c r="G7" i="31"/>
  <c r="G9" i="31"/>
  <c r="H37" i="17"/>
  <c r="H52" i="17"/>
  <c r="C23" i="9"/>
  <c r="D36" i="10"/>
  <c r="D31" i="10"/>
  <c r="D23" i="9"/>
  <c r="E36" i="10"/>
  <c r="E31" i="10"/>
  <c r="E23" i="9"/>
  <c r="D43" i="10"/>
  <c r="C25" i="12"/>
  <c r="C50" i="36"/>
  <c r="C37" i="36"/>
  <c r="C24" i="36"/>
  <c r="F36" i="10"/>
  <c r="F31" i="10"/>
  <c r="F23" i="9"/>
  <c r="C4" i="23"/>
  <c r="E22" i="16"/>
  <c r="C11" i="36"/>
  <c r="E43" i="10"/>
  <c r="D25" i="12"/>
  <c r="F43" i="10"/>
  <c r="E25" i="12"/>
  <c r="D50" i="36"/>
  <c r="D37" i="36"/>
  <c r="D24" i="36"/>
  <c r="G36" i="10"/>
  <c r="G23" i="9"/>
  <c r="G31" i="10"/>
  <c r="D11" i="36"/>
  <c r="D4" i="23"/>
  <c r="F22" i="16"/>
  <c r="E4" i="23"/>
  <c r="G22" i="16"/>
  <c r="E37" i="36"/>
  <c r="E50" i="36"/>
  <c r="E11" i="36"/>
  <c r="E24" i="36"/>
  <c r="G43" i="10"/>
  <c r="F25" i="12"/>
  <c r="H36" i="10"/>
  <c r="H31" i="10"/>
  <c r="H23" i="9"/>
  <c r="F4" i="23"/>
  <c r="F50" i="36"/>
  <c r="H43" i="10"/>
  <c r="G25" i="12"/>
  <c r="H22" i="16"/>
  <c r="F24" i="36"/>
  <c r="F11" i="36"/>
  <c r="F37" i="36"/>
  <c r="I36" i="10"/>
  <c r="I31" i="10"/>
  <c r="I23" i="9"/>
  <c r="I22" i="16"/>
  <c r="G11" i="36"/>
  <c r="G37" i="36"/>
  <c r="G50" i="36"/>
  <c r="G4" i="23"/>
  <c r="G24" i="36"/>
  <c r="I43" i="10"/>
  <c r="H25" i="12"/>
  <c r="J36" i="10"/>
  <c r="J23" i="9"/>
  <c r="J31" i="10"/>
  <c r="H4" i="23"/>
  <c r="J22" i="16"/>
  <c r="H37" i="36"/>
  <c r="H50" i="36"/>
  <c r="H11" i="36"/>
  <c r="H24" i="36"/>
  <c r="J43" i="10"/>
  <c r="I25" i="12"/>
  <c r="K36" i="10"/>
  <c r="K31" i="10"/>
  <c r="K23" i="9"/>
  <c r="K43" i="10"/>
  <c r="J25" i="12"/>
  <c r="I24" i="36"/>
  <c r="I50" i="36"/>
  <c r="I37" i="36"/>
  <c r="I11" i="36"/>
  <c r="K22" i="16"/>
  <c r="L36" i="10"/>
  <c r="L31" i="10"/>
  <c r="J11" i="36"/>
  <c r="J37" i="36"/>
  <c r="J50" i="36"/>
  <c r="J24" i="36"/>
  <c r="L22" i="16"/>
  <c r="L43" i="10"/>
  <c r="K25" i="12"/>
  <c r="K50" i="36"/>
  <c r="K37" i="36"/>
  <c r="K24" i="36"/>
  <c r="K11" i="36"/>
  <c r="M22" i="16"/>
  <c r="B29" i="38"/>
  <c r="C34" i="18"/>
  <c r="B16" i="36"/>
  <c r="D108" i="7"/>
  <c r="D75" i="7"/>
  <c r="D116" i="7"/>
  <c r="D87" i="7"/>
  <c r="D89" i="7"/>
  <c r="D41" i="8"/>
  <c r="D43" i="8"/>
  <c r="D63" i="7"/>
  <c r="C36" i="18"/>
  <c r="C5" i="39"/>
  <c r="C19" i="5"/>
  <c r="C20" i="5"/>
  <c r="C6" i="6"/>
  <c r="D69" i="7"/>
  <c r="D104" i="7"/>
  <c r="D112" i="7"/>
  <c r="D81" i="7"/>
  <c r="D83" i="7"/>
  <c r="D37" i="8"/>
  <c r="D39" i="8"/>
  <c r="B42" i="36"/>
  <c r="B3" i="36"/>
  <c r="B29" i="36"/>
  <c r="D72" i="7"/>
  <c r="D71" i="7"/>
  <c r="D29" i="8"/>
  <c r="D31" i="8"/>
  <c r="D78" i="7"/>
  <c r="D77" i="7"/>
  <c r="D33" i="8"/>
  <c r="D35" i="8"/>
  <c r="C10" i="39"/>
  <c r="C12" i="39"/>
  <c r="C7" i="39"/>
  <c r="C27" i="5"/>
  <c r="D100" i="7"/>
  <c r="D66" i="7"/>
  <c r="E75" i="7"/>
  <c r="D109" i="7"/>
  <c r="E108" i="7"/>
  <c r="D101" i="7"/>
  <c r="E63" i="7"/>
  <c r="E66" i="7"/>
  <c r="B50" i="36"/>
  <c r="B24" i="36"/>
  <c r="D22" i="16"/>
  <c r="B4" i="23"/>
  <c r="B11" i="36"/>
  <c r="B37" i="36"/>
  <c r="D65" i="7"/>
  <c r="D25" i="8"/>
  <c r="D27" i="8"/>
  <c r="D45" i="8"/>
  <c r="C5" i="12"/>
  <c r="E69" i="7"/>
  <c r="D105" i="7"/>
  <c r="E104" i="7"/>
  <c r="E78" i="7"/>
  <c r="E77" i="7"/>
  <c r="E33" i="8"/>
  <c r="E35" i="8"/>
  <c r="C42" i="36"/>
  <c r="C29" i="36"/>
  <c r="C3" i="36"/>
  <c r="C16" i="36"/>
  <c r="E65" i="7"/>
  <c r="E25" i="8"/>
  <c r="E27" i="8"/>
  <c r="E101" i="7"/>
  <c r="F63" i="7"/>
  <c r="F66" i="7"/>
  <c r="B6" i="36"/>
  <c r="B32" i="36"/>
  <c r="B45" i="36"/>
  <c r="B19" i="36"/>
  <c r="E72" i="7"/>
  <c r="E71" i="7"/>
  <c r="E29" i="8"/>
  <c r="E31" i="8"/>
  <c r="B31" i="36"/>
  <c r="B5" i="36"/>
  <c r="B18" i="36"/>
  <c r="B44" i="36"/>
  <c r="E100" i="7"/>
  <c r="F100" i="7"/>
  <c r="E45" i="8"/>
  <c r="D5" i="12"/>
  <c r="F75" i="7"/>
  <c r="E109" i="7"/>
  <c r="F108" i="7"/>
  <c r="F65" i="7"/>
  <c r="F25" i="8"/>
  <c r="F27" i="8"/>
  <c r="F101" i="7"/>
  <c r="G63" i="7"/>
  <c r="F69" i="7"/>
  <c r="E105" i="7"/>
  <c r="F104" i="7"/>
  <c r="F72" i="7"/>
  <c r="F71" i="7"/>
  <c r="F29" i="8"/>
  <c r="F31" i="8"/>
  <c r="G100" i="7"/>
  <c r="F78" i="7"/>
  <c r="F77" i="7"/>
  <c r="F33" i="8"/>
  <c r="F35" i="8"/>
  <c r="G66" i="7"/>
  <c r="G65" i="7"/>
  <c r="G25" i="8"/>
  <c r="G27" i="8"/>
  <c r="D16" i="36"/>
  <c r="D42" i="36"/>
  <c r="D29" i="36"/>
  <c r="D3" i="36"/>
  <c r="C45" i="36"/>
  <c r="C19" i="36"/>
  <c r="C32" i="36"/>
  <c r="C6" i="36"/>
  <c r="F45" i="8"/>
  <c r="E5" i="12"/>
  <c r="H63" i="7"/>
  <c r="G101" i="7"/>
  <c r="G75" i="7"/>
  <c r="F109" i="7"/>
  <c r="G108" i="7"/>
  <c r="G69" i="7"/>
  <c r="F105" i="7"/>
  <c r="G78" i="7"/>
  <c r="G77" i="7"/>
  <c r="G33" i="8"/>
  <c r="G35" i="8"/>
  <c r="G104" i="7"/>
  <c r="D45" i="36"/>
  <c r="D6" i="36"/>
  <c r="D32" i="36"/>
  <c r="D19" i="36"/>
  <c r="H66" i="7"/>
  <c r="H65" i="7"/>
  <c r="H25" i="8"/>
  <c r="H27" i="8"/>
  <c r="G72" i="7"/>
  <c r="G71" i="7"/>
  <c r="G29" i="8"/>
  <c r="G31" i="8"/>
  <c r="H100" i="7"/>
  <c r="E16" i="36"/>
  <c r="E3" i="36"/>
  <c r="E42" i="36"/>
  <c r="E29" i="36"/>
  <c r="G45" i="8"/>
  <c r="F5" i="12"/>
  <c r="H101" i="7"/>
  <c r="I63" i="7"/>
  <c r="H69" i="7"/>
  <c r="G105" i="7"/>
  <c r="H75" i="7"/>
  <c r="G109" i="7"/>
  <c r="H108" i="7"/>
  <c r="H104" i="7"/>
  <c r="I66" i="7"/>
  <c r="I65" i="7"/>
  <c r="I25" i="8"/>
  <c r="I27" i="8"/>
  <c r="H78" i="7"/>
  <c r="H77" i="7"/>
  <c r="H33" i="8"/>
  <c r="H35" i="8"/>
  <c r="H72" i="7"/>
  <c r="H71" i="7"/>
  <c r="H29" i="8"/>
  <c r="H31" i="8"/>
  <c r="E6" i="36"/>
  <c r="E32" i="36"/>
  <c r="E19" i="36"/>
  <c r="E45" i="36"/>
  <c r="I100" i="7"/>
  <c r="F42" i="36"/>
  <c r="F16" i="36"/>
  <c r="F29" i="36"/>
  <c r="F3" i="36"/>
  <c r="I75" i="7"/>
  <c r="H109" i="7"/>
  <c r="I108" i="7"/>
  <c r="H45" i="8"/>
  <c r="G5" i="12"/>
  <c r="I101" i="7"/>
  <c r="J63" i="7"/>
  <c r="I69" i="7"/>
  <c r="H105" i="7"/>
  <c r="G3" i="36"/>
  <c r="G42" i="36"/>
  <c r="G29" i="36"/>
  <c r="G16" i="36"/>
  <c r="I78" i="7"/>
  <c r="I77" i="7"/>
  <c r="I33" i="8"/>
  <c r="I35" i="8"/>
  <c r="I104" i="7"/>
  <c r="F6" i="36"/>
  <c r="F19" i="36"/>
  <c r="F32" i="36"/>
  <c r="F45" i="36"/>
  <c r="I72" i="7"/>
  <c r="I71" i="7"/>
  <c r="I29" i="8"/>
  <c r="I31" i="8"/>
  <c r="J100" i="7"/>
  <c r="J66" i="7"/>
  <c r="J65" i="7"/>
  <c r="J25" i="8"/>
  <c r="J27" i="8"/>
  <c r="I45" i="8"/>
  <c r="H5" i="12"/>
  <c r="K63" i="7"/>
  <c r="J101" i="7"/>
  <c r="J69" i="7"/>
  <c r="I105" i="7"/>
  <c r="J75" i="7"/>
  <c r="I109" i="7"/>
  <c r="J108" i="7"/>
  <c r="H29" i="36"/>
  <c r="H42" i="36"/>
  <c r="H16" i="36"/>
  <c r="H3" i="36"/>
  <c r="G45" i="36"/>
  <c r="G19" i="36"/>
  <c r="G32" i="36"/>
  <c r="G6" i="36"/>
  <c r="J78" i="7"/>
  <c r="J77" i="7"/>
  <c r="J33" i="8"/>
  <c r="J35" i="8"/>
  <c r="K66" i="7"/>
  <c r="K65" i="7"/>
  <c r="K25" i="8"/>
  <c r="K27" i="8"/>
  <c r="J104" i="7"/>
  <c r="J122" i="7"/>
  <c r="I11" i="12"/>
  <c r="K100" i="7"/>
  <c r="J72" i="7"/>
  <c r="J71" i="7"/>
  <c r="J29" i="8"/>
  <c r="J31" i="8"/>
  <c r="J45" i="8"/>
  <c r="I5" i="12"/>
  <c r="K75" i="7"/>
  <c r="J109" i="7"/>
  <c r="K108" i="7"/>
  <c r="K69" i="7"/>
  <c r="J105" i="7"/>
  <c r="K101" i="7"/>
  <c r="L63" i="7"/>
  <c r="L66" i="7"/>
  <c r="L101" i="7"/>
  <c r="K104" i="7"/>
  <c r="K122" i="7"/>
  <c r="J11" i="12"/>
  <c r="J123" i="7"/>
  <c r="L100" i="7"/>
  <c r="K72" i="7"/>
  <c r="K78" i="7"/>
  <c r="K77" i="7"/>
  <c r="K33" i="8"/>
  <c r="K35" i="8"/>
  <c r="I3" i="36"/>
  <c r="I29" i="36"/>
  <c r="I42" i="36"/>
  <c r="I16" i="36"/>
  <c r="H19" i="36"/>
  <c r="H6" i="36"/>
  <c r="H32" i="36"/>
  <c r="H45" i="36"/>
  <c r="J40" i="15"/>
  <c r="I12" i="12"/>
  <c r="L75" i="7"/>
  <c r="L78" i="7"/>
  <c r="K109" i="7"/>
  <c r="L108" i="7"/>
  <c r="L65" i="7"/>
  <c r="L25" i="8"/>
  <c r="L27" i="8"/>
  <c r="L69" i="7"/>
  <c r="L72" i="7"/>
  <c r="K105" i="7"/>
  <c r="K71" i="7"/>
  <c r="K29" i="8"/>
  <c r="K31" i="8"/>
  <c r="K45" i="8"/>
  <c r="J5" i="12"/>
  <c r="L104" i="7"/>
  <c r="L122" i="7"/>
  <c r="K11" i="12"/>
  <c r="K123" i="7"/>
  <c r="L77" i="7"/>
  <c r="L33" i="8"/>
  <c r="L35" i="8"/>
  <c r="L109" i="7"/>
  <c r="I19" i="36"/>
  <c r="I45" i="36"/>
  <c r="I32" i="36"/>
  <c r="I6" i="36"/>
  <c r="L71" i="7"/>
  <c r="L29" i="8"/>
  <c r="L31" i="8"/>
  <c r="L105" i="7"/>
  <c r="J42" i="36"/>
  <c r="J29" i="36"/>
  <c r="J16" i="36"/>
  <c r="J3" i="36"/>
  <c r="L123" i="7"/>
  <c r="K12" i="12"/>
  <c r="L45" i="8"/>
  <c r="K5" i="12"/>
  <c r="K16" i="36"/>
  <c r="J12" i="12"/>
  <c r="K40" i="15"/>
  <c r="L40" i="15"/>
  <c r="K29" i="36"/>
  <c r="K3" i="36"/>
  <c r="K42" i="36"/>
  <c r="J45" i="36"/>
  <c r="J19" i="36"/>
  <c r="J6" i="36"/>
  <c r="J32" i="36"/>
  <c r="K45" i="36"/>
  <c r="K6" i="36"/>
  <c r="K32" i="36"/>
  <c r="K19" i="36"/>
  <c r="E6" i="31" l="1"/>
  <c r="F53" i="17"/>
  <c r="E8" i="29"/>
  <c r="F27" i="12"/>
  <c r="E9" i="30"/>
  <c r="F40" i="17"/>
  <c r="F5" i="37"/>
  <c r="F7" i="17"/>
  <c r="E8" i="14"/>
  <c r="F32" i="15"/>
  <c r="D7" i="17"/>
  <c r="E40" i="17"/>
  <c r="D9" i="30"/>
  <c r="D40" i="17"/>
  <c r="C6" i="31"/>
  <c r="C40" i="17"/>
  <c r="B6" i="31"/>
  <c r="E5" i="37"/>
  <c r="D8" i="29"/>
  <c r="C9" i="30"/>
  <c r="D5" i="37"/>
  <c r="E53" i="17"/>
  <c r="D6" i="31"/>
  <c r="C8" i="14"/>
  <c r="C19" i="3"/>
  <c r="P10" i="3"/>
  <c r="C11" i="3"/>
  <c r="C12" i="3"/>
  <c r="C17" i="10"/>
  <c r="C18" i="10" s="1"/>
  <c r="D13" i="10"/>
  <c r="C19" i="10"/>
  <c r="B9" i="12"/>
  <c r="B30" i="36"/>
  <c r="B33" i="36" s="1"/>
  <c r="B17" i="36"/>
  <c r="B20" i="36" s="1"/>
  <c r="B43" i="36"/>
  <c r="B46" i="36" s="1"/>
  <c r="B4" i="36"/>
  <c r="B7" i="36" s="1"/>
  <c r="C17" i="36"/>
  <c r="C20" i="36" s="1"/>
  <c r="C43" i="36"/>
  <c r="C46" i="36" s="1"/>
  <c r="C4" i="36"/>
  <c r="C7" i="36" s="1"/>
  <c r="C30" i="36"/>
  <c r="C33" i="36" s="1"/>
  <c r="C9" i="12"/>
  <c r="D13" i="4"/>
  <c r="D25" i="10"/>
  <c r="B31" i="5"/>
  <c r="C7" i="6"/>
  <c r="C28" i="5"/>
  <c r="D27" i="5" s="1"/>
  <c r="D7" i="6"/>
  <c r="E44" i="18" s="1"/>
  <c r="D28" i="5"/>
  <c r="E27" i="5" s="1"/>
  <c r="E25" i="5"/>
  <c r="C41" i="15"/>
  <c r="C5" i="11" s="1"/>
  <c r="B9" i="23"/>
  <c r="B19" i="12"/>
  <c r="B30" i="5"/>
  <c r="B18" i="12" s="1"/>
  <c r="C31" i="5"/>
  <c r="D30" i="5" s="1"/>
  <c r="D18" i="12" s="1"/>
  <c r="D11" i="5"/>
  <c r="D12" i="5" s="1"/>
  <c r="D4" i="6" s="1"/>
  <c r="E43" i="18" s="1"/>
  <c r="C30" i="5"/>
  <c r="C18" i="12" s="1"/>
  <c r="C43" i="18"/>
  <c r="B9" i="6"/>
  <c r="G5" i="37" l="1"/>
  <c r="F6" i="31"/>
  <c r="G53" i="17"/>
  <c r="G7" i="17"/>
  <c r="F9" i="30"/>
  <c r="G40" i="17"/>
  <c r="F8" i="29"/>
  <c r="G27" i="12"/>
  <c r="F8" i="14"/>
  <c r="G32" i="15"/>
  <c r="D10" i="3"/>
  <c r="C21" i="3"/>
  <c r="C30" i="15" s="1"/>
  <c r="D11" i="3"/>
  <c r="C20" i="3"/>
  <c r="P19" i="3"/>
  <c r="P11" i="3"/>
  <c r="P20" i="3" s="1"/>
  <c r="B7" i="14" s="1"/>
  <c r="C23" i="10"/>
  <c r="C28" i="15"/>
  <c r="E13" i="10"/>
  <c r="D17" i="10"/>
  <c r="D19" i="10"/>
  <c r="D14" i="4"/>
  <c r="D6" i="12" s="1"/>
  <c r="E52" i="18"/>
  <c r="C2" i="35"/>
  <c r="D36" i="15"/>
  <c r="C14" i="12"/>
  <c r="C3" i="35" s="1"/>
  <c r="E5" i="16"/>
  <c r="D5" i="16"/>
  <c r="C36" i="15"/>
  <c r="B2" i="35"/>
  <c r="B14" i="12"/>
  <c r="B3" i="35" s="1"/>
  <c r="E25" i="10"/>
  <c r="C19" i="12"/>
  <c r="C43" i="15"/>
  <c r="D44" i="18"/>
  <c r="C9" i="6"/>
  <c r="F25" i="5"/>
  <c r="E28" i="5"/>
  <c r="F27" i="5" s="1"/>
  <c r="E7" i="6"/>
  <c r="F44" i="18" s="1"/>
  <c r="D41" i="15"/>
  <c r="C9" i="23"/>
  <c r="D11" i="6"/>
  <c r="E11" i="5"/>
  <c r="E16" i="5" s="1"/>
  <c r="D16" i="5"/>
  <c r="E15" i="5" s="1"/>
  <c r="D9" i="6"/>
  <c r="D6" i="23" s="1"/>
  <c r="B16" i="12"/>
  <c r="B6" i="23"/>
  <c r="B13" i="6"/>
  <c r="B17" i="6" s="1"/>
  <c r="G6" i="31" l="1"/>
  <c r="H53" i="17"/>
  <c r="H27" i="12"/>
  <c r="G9" i="30"/>
  <c r="H40" i="17"/>
  <c r="H5" i="37"/>
  <c r="G8" i="29"/>
  <c r="H7" i="17"/>
  <c r="G8" i="14"/>
  <c r="H32" i="15"/>
  <c r="D23" i="10"/>
  <c r="C28" i="10"/>
  <c r="B23" i="12" s="1"/>
  <c r="B32" i="12"/>
  <c r="C29" i="15"/>
  <c r="D20" i="3"/>
  <c r="E11" i="3"/>
  <c r="P12" i="3"/>
  <c r="D12" i="3"/>
  <c r="D19" i="3"/>
  <c r="D28" i="15" s="1"/>
  <c r="F13" i="10"/>
  <c r="E17" i="10"/>
  <c r="E19" i="10" s="1"/>
  <c r="D43" i="36"/>
  <c r="D46" i="36" s="1"/>
  <c r="D30" i="36"/>
  <c r="D33" i="36" s="1"/>
  <c r="D17" i="36"/>
  <c r="D20" i="36" s="1"/>
  <c r="D9" i="12"/>
  <c r="D4" i="36"/>
  <c r="D7" i="36" s="1"/>
  <c r="D28" i="16"/>
  <c r="C4" i="11"/>
  <c r="D4" i="11"/>
  <c r="E28" i="16"/>
  <c r="F52" i="18"/>
  <c r="E14" i="4"/>
  <c r="E6" i="12" s="1"/>
  <c r="F13" i="4"/>
  <c r="F25" i="10"/>
  <c r="C16" i="12"/>
  <c r="C6" i="23"/>
  <c r="C13" i="6"/>
  <c r="C17" i="6" s="1"/>
  <c r="G25" i="5"/>
  <c r="F28" i="5"/>
  <c r="G27" i="5" s="1"/>
  <c r="F7" i="6"/>
  <c r="G44" i="18" s="1"/>
  <c r="F11" i="5"/>
  <c r="G11" i="5" s="1"/>
  <c r="E12" i="5"/>
  <c r="E4" i="6" s="1"/>
  <c r="F43" i="18" s="1"/>
  <c r="E11" i="6"/>
  <c r="D16" i="12"/>
  <c r="D5" i="11"/>
  <c r="D43" i="15"/>
  <c r="D13" i="6"/>
  <c r="D17" i="6" s="1"/>
  <c r="D31" i="5"/>
  <c r="D19" i="12" s="1"/>
  <c r="D9" i="23"/>
  <c r="F16" i="5"/>
  <c r="F11" i="6"/>
  <c r="F15" i="5"/>
  <c r="E31" i="5"/>
  <c r="E9" i="6"/>
  <c r="B21" i="12"/>
  <c r="C22" i="15"/>
  <c r="D23" i="16"/>
  <c r="I5" i="37" l="1"/>
  <c r="H8" i="29"/>
  <c r="I53" i="17"/>
  <c r="H9" i="30"/>
  <c r="H8" i="14"/>
  <c r="H6" i="31"/>
  <c r="I40" i="17"/>
  <c r="I27" i="12"/>
  <c r="I7" i="17"/>
  <c r="I32" i="15"/>
  <c r="Q10" i="3"/>
  <c r="P21" i="3"/>
  <c r="F11" i="3"/>
  <c r="E20" i="3"/>
  <c r="B23" i="36"/>
  <c r="B49" i="36"/>
  <c r="C36" i="17"/>
  <c r="B36" i="36"/>
  <c r="B5" i="23"/>
  <c r="B8" i="23" s="1"/>
  <c r="B12" i="23" s="1"/>
  <c r="B14" i="23" s="1"/>
  <c r="B16" i="23" s="1"/>
  <c r="D21" i="16"/>
  <c r="B10" i="36"/>
  <c r="D21" i="3"/>
  <c r="D30" i="15" s="1"/>
  <c r="E10" i="3"/>
  <c r="B5" i="31"/>
  <c r="C5" i="17"/>
  <c r="B8" i="30"/>
  <c r="C51" i="17"/>
  <c r="B7" i="29"/>
  <c r="C39" i="17"/>
  <c r="B6" i="14"/>
  <c r="D29" i="15"/>
  <c r="C32" i="12"/>
  <c r="E23" i="10"/>
  <c r="D28" i="10"/>
  <c r="C23" i="12" s="1"/>
  <c r="F17" i="10"/>
  <c r="F19" i="10"/>
  <c r="G13" i="10"/>
  <c r="D14" i="12"/>
  <c r="D3" i="35" s="1"/>
  <c r="E36" i="15"/>
  <c r="D2" i="35"/>
  <c r="F5" i="16"/>
  <c r="G52" i="18"/>
  <c r="F14" i="4"/>
  <c r="F6" i="12" s="1"/>
  <c r="E43" i="36"/>
  <c r="E46" i="36" s="1"/>
  <c r="E30" i="36"/>
  <c r="E33" i="36" s="1"/>
  <c r="E4" i="36"/>
  <c r="E7" i="36" s="1"/>
  <c r="E17" i="36"/>
  <c r="E20" i="36" s="1"/>
  <c r="E9" i="12"/>
  <c r="G25" i="10"/>
  <c r="F12" i="5"/>
  <c r="F4" i="6" s="1"/>
  <c r="F23" i="16"/>
  <c r="D21" i="12"/>
  <c r="E23" i="16"/>
  <c r="C21" i="12"/>
  <c r="E41" i="15"/>
  <c r="E5" i="11" s="1"/>
  <c r="G7" i="6"/>
  <c r="H44" i="18" s="1"/>
  <c r="G28" i="5"/>
  <c r="H27" i="5" s="1"/>
  <c r="H25" i="5"/>
  <c r="E30" i="5"/>
  <c r="E18" i="12" s="1"/>
  <c r="C6" i="11"/>
  <c r="D10" i="16"/>
  <c r="E6" i="23"/>
  <c r="E16" i="12"/>
  <c r="B9" i="36"/>
  <c r="B48" i="36"/>
  <c r="B51" i="36" s="1"/>
  <c r="B52" i="36" s="1"/>
  <c r="B4" i="35"/>
  <c r="B5" i="35" s="1"/>
  <c r="B22" i="36"/>
  <c r="B25" i="36" s="1"/>
  <c r="B26" i="36" s="1"/>
  <c r="B35" i="36"/>
  <c r="B29" i="12"/>
  <c r="G15" i="5"/>
  <c r="F31" i="5"/>
  <c r="D35" i="36"/>
  <c r="D22" i="36"/>
  <c r="E19" i="12"/>
  <c r="F41" i="15"/>
  <c r="F30" i="5"/>
  <c r="F18" i="12" s="1"/>
  <c r="E9" i="23"/>
  <c r="G43" i="18"/>
  <c r="F9" i="6"/>
  <c r="G11" i="6"/>
  <c r="G12" i="5"/>
  <c r="G4" i="6" s="1"/>
  <c r="H11" i="5"/>
  <c r="G16" i="5"/>
  <c r="E13" i="6"/>
  <c r="E17" i="6" s="1"/>
  <c r="I8" i="14" l="1"/>
  <c r="I9" i="30"/>
  <c r="I8" i="29"/>
  <c r="J53" i="17"/>
  <c r="J27" i="12"/>
  <c r="J5" i="37"/>
  <c r="J40" i="17"/>
  <c r="J32" i="15"/>
  <c r="K32" i="15" s="1"/>
  <c r="C10" i="36"/>
  <c r="C49" i="36"/>
  <c r="D36" i="17"/>
  <c r="C23" i="36"/>
  <c r="E21" i="16"/>
  <c r="C36" i="36"/>
  <c r="C5" i="23"/>
  <c r="C8" i="23" s="1"/>
  <c r="C12" i="23" s="1"/>
  <c r="C14" i="23" s="1"/>
  <c r="C16" i="23" s="1"/>
  <c r="E29" i="15"/>
  <c r="D32" i="12"/>
  <c r="F23" i="10"/>
  <c r="E28" i="10"/>
  <c r="D23" i="12" s="1"/>
  <c r="D4" i="35" s="1"/>
  <c r="D5" i="35" s="1"/>
  <c r="F20" i="3"/>
  <c r="G11" i="3"/>
  <c r="D22" i="15"/>
  <c r="D6" i="11" s="1"/>
  <c r="D8" i="11" s="1"/>
  <c r="C5" i="31"/>
  <c r="D51" i="17"/>
  <c r="D5" i="17"/>
  <c r="C7" i="29"/>
  <c r="C6" i="14"/>
  <c r="C8" i="30"/>
  <c r="D39" i="17"/>
  <c r="B38" i="36"/>
  <c r="B39" i="36" s="1"/>
  <c r="B12" i="36"/>
  <c r="B13" i="36" s="1"/>
  <c r="E12" i="3"/>
  <c r="E19" i="3"/>
  <c r="E28" i="15" s="1"/>
  <c r="Q12" i="3"/>
  <c r="Q19" i="3"/>
  <c r="Q11" i="3"/>
  <c r="Q20" i="3" s="1"/>
  <c r="C7" i="14" s="1"/>
  <c r="H13" i="10"/>
  <c r="G17" i="10"/>
  <c r="G19" i="10"/>
  <c r="E10" i="16"/>
  <c r="E14" i="12"/>
  <c r="E3" i="35" s="1"/>
  <c r="G5" i="16"/>
  <c r="E2" i="35"/>
  <c r="F36" i="15"/>
  <c r="F30" i="36"/>
  <c r="F33" i="36" s="1"/>
  <c r="F9" i="12"/>
  <c r="F4" i="36"/>
  <c r="F7" i="36" s="1"/>
  <c r="F43" i="36"/>
  <c r="F46" i="36" s="1"/>
  <c r="F17" i="36"/>
  <c r="F20" i="36" s="1"/>
  <c r="H52" i="18"/>
  <c r="G14" i="4"/>
  <c r="G6" i="12" s="1"/>
  <c r="E4" i="11"/>
  <c r="F28" i="16"/>
  <c r="H25" i="10"/>
  <c r="D48" i="36"/>
  <c r="D9" i="36"/>
  <c r="E43" i="15"/>
  <c r="C29" i="12"/>
  <c r="C6" i="35" s="1"/>
  <c r="C4" i="35"/>
  <c r="C5" i="35" s="1"/>
  <c r="C48" i="36"/>
  <c r="C51" i="36" s="1"/>
  <c r="C52" i="36" s="1"/>
  <c r="C22" i="36"/>
  <c r="C9" i="36"/>
  <c r="C12" i="36" s="1"/>
  <c r="C13" i="36" s="1"/>
  <c r="C35" i="36"/>
  <c r="C38" i="36" s="1"/>
  <c r="C39" i="36" s="1"/>
  <c r="H28" i="5"/>
  <c r="I27" i="5" s="1"/>
  <c r="I25" i="5"/>
  <c r="H7" i="6"/>
  <c r="I44" i="18" s="1"/>
  <c r="H15" i="5"/>
  <c r="G31" i="5"/>
  <c r="B6" i="35"/>
  <c r="H16" i="5"/>
  <c r="I11" i="5"/>
  <c r="H12" i="5"/>
  <c r="H4" i="6" s="1"/>
  <c r="H11" i="6"/>
  <c r="G9" i="6"/>
  <c r="G13" i="6" s="1"/>
  <c r="G17" i="6" s="1"/>
  <c r="H43" i="18"/>
  <c r="F6" i="23"/>
  <c r="F16" i="12"/>
  <c r="F5" i="11"/>
  <c r="F43" i="15"/>
  <c r="G41" i="15"/>
  <c r="F19" i="12"/>
  <c r="F9" i="23"/>
  <c r="G30" i="5"/>
  <c r="G18" i="12" s="1"/>
  <c r="F13" i="6"/>
  <c r="F17" i="6" s="1"/>
  <c r="G23" i="16"/>
  <c r="E21" i="12"/>
  <c r="C11" i="11"/>
  <c r="C8" i="11"/>
  <c r="K5" i="37" l="1"/>
  <c r="K40" i="17"/>
  <c r="J8" i="14"/>
  <c r="J9" i="30"/>
  <c r="K53" i="17"/>
  <c r="K27" i="12"/>
  <c r="J8" i="29"/>
  <c r="D29" i="12"/>
  <c r="D6" i="35" s="1"/>
  <c r="Q21" i="3"/>
  <c r="R10" i="3"/>
  <c r="D12" i="36"/>
  <c r="D13" i="36" s="1"/>
  <c r="F10" i="3"/>
  <c r="E21" i="3"/>
  <c r="E30" i="15" s="1"/>
  <c r="G23" i="10"/>
  <c r="F28" i="10"/>
  <c r="E23" i="12" s="1"/>
  <c r="E36" i="36" s="1"/>
  <c r="E32" i="12"/>
  <c r="F29" i="15"/>
  <c r="C25" i="36"/>
  <c r="C26" i="36" s="1"/>
  <c r="E22" i="15"/>
  <c r="D5" i="23"/>
  <c r="D8" i="23" s="1"/>
  <c r="D12" i="23" s="1"/>
  <c r="D14" i="23" s="1"/>
  <c r="D16" i="23" s="1"/>
  <c r="D23" i="36"/>
  <c r="D25" i="36" s="1"/>
  <c r="D26" i="36" s="1"/>
  <c r="D10" i="36"/>
  <c r="E36" i="17"/>
  <c r="D49" i="36"/>
  <c r="D51" i="36" s="1"/>
  <c r="D52" i="36" s="1"/>
  <c r="D36" i="36"/>
  <c r="D38" i="36" s="1"/>
  <c r="D39" i="36" s="1"/>
  <c r="F21" i="16"/>
  <c r="D11" i="11"/>
  <c r="D13" i="11" s="1"/>
  <c r="H11" i="3"/>
  <c r="G20" i="3"/>
  <c r="D7" i="29"/>
  <c r="D6" i="14"/>
  <c r="E5" i="17"/>
  <c r="E39" i="17"/>
  <c r="D8" i="30"/>
  <c r="E51" i="17"/>
  <c r="D5" i="31"/>
  <c r="E5" i="23"/>
  <c r="E8" i="23" s="1"/>
  <c r="E12" i="23" s="1"/>
  <c r="E14" i="23" s="1"/>
  <c r="E16" i="23" s="1"/>
  <c r="I13" i="10"/>
  <c r="H17" i="10"/>
  <c r="H19" i="10" s="1"/>
  <c r="G28" i="16"/>
  <c r="F4" i="11"/>
  <c r="H14" i="4"/>
  <c r="H6" i="12" s="1"/>
  <c r="I52" i="18"/>
  <c r="G36" i="15"/>
  <c r="F2" i="35"/>
  <c r="H5" i="16"/>
  <c r="F14" i="12"/>
  <c r="F3" i="35" s="1"/>
  <c r="G43" i="36"/>
  <c r="G46" i="36" s="1"/>
  <c r="G30" i="36"/>
  <c r="G33" i="36" s="1"/>
  <c r="G9" i="12"/>
  <c r="G17" i="36"/>
  <c r="G20" i="36" s="1"/>
  <c r="G4" i="36"/>
  <c r="G7" i="36" s="1"/>
  <c r="I25" i="10"/>
  <c r="J25" i="5"/>
  <c r="I28" i="5"/>
  <c r="J27" i="5" s="1"/>
  <c r="I7" i="6"/>
  <c r="J44" i="18" s="1"/>
  <c r="C13" i="11"/>
  <c r="F21" i="12"/>
  <c r="H23" i="16"/>
  <c r="E48" i="36"/>
  <c r="E35" i="36"/>
  <c r="E9" i="36"/>
  <c r="E22" i="36"/>
  <c r="G5" i="11"/>
  <c r="G43" i="15"/>
  <c r="H9" i="6"/>
  <c r="H13" i="6" s="1"/>
  <c r="H17" i="6" s="1"/>
  <c r="I43" i="18"/>
  <c r="J11" i="5"/>
  <c r="I12" i="5"/>
  <c r="I4" i="6" s="1"/>
  <c r="I16" i="5"/>
  <c r="G19" i="12"/>
  <c r="H30" i="5"/>
  <c r="H18" i="12" s="1"/>
  <c r="H41" i="15"/>
  <c r="G9" i="23"/>
  <c r="G16" i="12"/>
  <c r="G6" i="23"/>
  <c r="H31" i="5"/>
  <c r="I15" i="5"/>
  <c r="K9" i="30" l="1"/>
  <c r="L53" i="17"/>
  <c r="K8" i="14"/>
  <c r="L5" i="37"/>
  <c r="L40" i="17"/>
  <c r="K8" i="29"/>
  <c r="L32" i="15"/>
  <c r="D15" i="11"/>
  <c r="E10" i="36"/>
  <c r="E4" i="35"/>
  <c r="E5" i="35" s="1"/>
  <c r="F19" i="3"/>
  <c r="F28" i="15" s="1"/>
  <c r="F12" i="3"/>
  <c r="E29" i="12"/>
  <c r="E6" i="35" s="1"/>
  <c r="F36" i="17"/>
  <c r="G29" i="15"/>
  <c r="F32" i="12"/>
  <c r="H23" i="10"/>
  <c r="G28" i="10"/>
  <c r="F23" i="12" s="1"/>
  <c r="R11" i="3"/>
  <c r="R20" i="3" s="1"/>
  <c r="D7" i="14" s="1"/>
  <c r="R19" i="3"/>
  <c r="E38" i="36"/>
  <c r="E39" i="36" s="1"/>
  <c r="E7" i="29"/>
  <c r="F5" i="17"/>
  <c r="E6" i="14"/>
  <c r="F39" i="17"/>
  <c r="E8" i="30"/>
  <c r="F51" i="17"/>
  <c r="E5" i="31"/>
  <c r="E6" i="11"/>
  <c r="F10" i="16"/>
  <c r="E23" i="36"/>
  <c r="E25" i="36" s="1"/>
  <c r="E26" i="36" s="1"/>
  <c r="G21" i="16"/>
  <c r="F22" i="15"/>
  <c r="E49" i="36"/>
  <c r="E51" i="36" s="1"/>
  <c r="E52" i="36" s="1"/>
  <c r="I11" i="3"/>
  <c r="H20" i="3"/>
  <c r="J13" i="10"/>
  <c r="I17" i="10"/>
  <c r="I19" i="10"/>
  <c r="E12" i="36"/>
  <c r="E13" i="36" s="1"/>
  <c r="H36" i="15"/>
  <c r="G14" i="12"/>
  <c r="G3" i="35" s="1"/>
  <c r="G2" i="35"/>
  <c r="I5" i="16"/>
  <c r="G4" i="11"/>
  <c r="H28" i="16"/>
  <c r="H4" i="36"/>
  <c r="H7" i="36" s="1"/>
  <c r="H43" i="36"/>
  <c r="H46" i="36" s="1"/>
  <c r="H9" i="12"/>
  <c r="H17" i="36"/>
  <c r="H20" i="36" s="1"/>
  <c r="H30" i="36"/>
  <c r="H33" i="36" s="1"/>
  <c r="J13" i="4"/>
  <c r="J52" i="18"/>
  <c r="I14" i="4"/>
  <c r="I6" i="12" s="1"/>
  <c r="J25" i="10"/>
  <c r="K25" i="5"/>
  <c r="J7" i="6"/>
  <c r="K44" i="18" s="1"/>
  <c r="J28" i="5"/>
  <c r="K27" i="5" s="1"/>
  <c r="I41" i="15"/>
  <c r="I30" i="5"/>
  <c r="I18" i="12" s="1"/>
  <c r="H9" i="23"/>
  <c r="H19" i="12"/>
  <c r="F35" i="36"/>
  <c r="F29" i="12"/>
  <c r="F48" i="36"/>
  <c r="F22" i="36"/>
  <c r="F4" i="35"/>
  <c r="F5" i="35" s="1"/>
  <c r="F9" i="36"/>
  <c r="H5" i="11"/>
  <c r="H43" i="15"/>
  <c r="J15" i="5"/>
  <c r="I31" i="5"/>
  <c r="I23" i="16"/>
  <c r="G21" i="12"/>
  <c r="J43" i="18"/>
  <c r="I9" i="6"/>
  <c r="I16" i="12" s="1"/>
  <c r="B13" i="2"/>
  <c r="E15" i="1"/>
  <c r="E17" i="1" s="1"/>
  <c r="K11" i="5"/>
  <c r="J12" i="5"/>
  <c r="J4" i="6" s="1"/>
  <c r="J16" i="5"/>
  <c r="H16" i="12"/>
  <c r="H6" i="23"/>
  <c r="C15" i="11"/>
  <c r="C31" i="12" l="1"/>
  <c r="D21" i="15"/>
  <c r="E8" i="11"/>
  <c r="E11" i="11"/>
  <c r="E13" i="11" s="1"/>
  <c r="E15" i="11" s="1"/>
  <c r="H29" i="15"/>
  <c r="G32" i="12"/>
  <c r="R12" i="3"/>
  <c r="I23" i="10"/>
  <c r="H28" i="10"/>
  <c r="G23" i="12" s="1"/>
  <c r="G4" i="35" s="1"/>
  <c r="G5" i="35" s="1"/>
  <c r="F21" i="3"/>
  <c r="F30" i="15" s="1"/>
  <c r="G10" i="3"/>
  <c r="G10" i="16"/>
  <c r="F6" i="11"/>
  <c r="G36" i="17"/>
  <c r="F10" i="36"/>
  <c r="F12" i="36" s="1"/>
  <c r="F13" i="36" s="1"/>
  <c r="F49" i="36"/>
  <c r="F23" i="36"/>
  <c r="F25" i="36" s="1"/>
  <c r="F26" i="36" s="1"/>
  <c r="F36" i="36"/>
  <c r="F38" i="36" s="1"/>
  <c r="F39" i="36" s="1"/>
  <c r="H21" i="16"/>
  <c r="G22" i="15"/>
  <c r="F5" i="23"/>
  <c r="F8" i="23" s="1"/>
  <c r="F12" i="23" s="1"/>
  <c r="F14" i="23" s="1"/>
  <c r="F16" i="23" s="1"/>
  <c r="F51" i="36"/>
  <c r="F52" i="36" s="1"/>
  <c r="I20" i="3"/>
  <c r="J11" i="3"/>
  <c r="F8" i="30"/>
  <c r="G5" i="17"/>
  <c r="F7" i="29"/>
  <c r="G51" i="17"/>
  <c r="G39" i="17"/>
  <c r="F5" i="31"/>
  <c r="F6" i="14"/>
  <c r="J17" i="10"/>
  <c r="J19" i="10" s="1"/>
  <c r="K13" i="10"/>
  <c r="J14" i="4"/>
  <c r="J6" i="12" s="1"/>
  <c r="K52" i="18"/>
  <c r="K13" i="4"/>
  <c r="I17" i="36"/>
  <c r="I20" i="36" s="1"/>
  <c r="I4" i="36"/>
  <c r="I7" i="36" s="1"/>
  <c r="I43" i="36"/>
  <c r="I46" i="36" s="1"/>
  <c r="I9" i="12"/>
  <c r="I30" i="36"/>
  <c r="I33" i="36" s="1"/>
  <c r="J5" i="16"/>
  <c r="H14" i="12"/>
  <c r="I36" i="15"/>
  <c r="I28" i="16"/>
  <c r="H4" i="11"/>
  <c r="K25" i="10"/>
  <c r="K28" i="5"/>
  <c r="K7" i="6"/>
  <c r="L44" i="18" s="1"/>
  <c r="J31" i="5"/>
  <c r="K15" i="5"/>
  <c r="C46" i="20"/>
  <c r="E46" i="20" s="1"/>
  <c r="E47" i="20" s="1"/>
  <c r="B15" i="2"/>
  <c r="E13" i="2"/>
  <c r="E15" i="2" s="1"/>
  <c r="I5" i="11"/>
  <c r="I43" i="15"/>
  <c r="K43" i="18"/>
  <c r="J9" i="6"/>
  <c r="J16" i="12" s="1"/>
  <c r="K23" i="16"/>
  <c r="B31" i="12"/>
  <c r="C21" i="15"/>
  <c r="K12" i="5"/>
  <c r="K4" i="6" s="1"/>
  <c r="K16" i="5"/>
  <c r="K31" i="5" s="1"/>
  <c r="J30" i="5"/>
  <c r="J18" i="12" s="1"/>
  <c r="J41" i="15"/>
  <c r="I19" i="12"/>
  <c r="I21" i="12" s="1"/>
  <c r="H21" i="12"/>
  <c r="J23" i="16"/>
  <c r="G29" i="12"/>
  <c r="G48" i="36"/>
  <c r="G9" i="36"/>
  <c r="G35" i="36"/>
  <c r="G22" i="36"/>
  <c r="F6" i="35"/>
  <c r="D38" i="17" l="1"/>
  <c r="D30" i="17" s="1"/>
  <c r="E27" i="16"/>
  <c r="C34" i="12"/>
  <c r="D31" i="12"/>
  <c r="E21" i="15"/>
  <c r="F8" i="16" s="1"/>
  <c r="F12" i="16" s="1"/>
  <c r="K11" i="3"/>
  <c r="J20" i="3"/>
  <c r="G6" i="11"/>
  <c r="H10" i="16"/>
  <c r="G49" i="36"/>
  <c r="G51" i="36" s="1"/>
  <c r="G52" i="36" s="1"/>
  <c r="G10" i="36"/>
  <c r="G12" i="36" s="1"/>
  <c r="G13" i="36" s="1"/>
  <c r="G36" i="36"/>
  <c r="G38" i="36" s="1"/>
  <c r="G39" i="36" s="1"/>
  <c r="H22" i="15"/>
  <c r="G5" i="23"/>
  <c r="G8" i="23" s="1"/>
  <c r="G12" i="23" s="1"/>
  <c r="G14" i="23" s="1"/>
  <c r="G16" i="23" s="1"/>
  <c r="I21" i="16"/>
  <c r="H36" i="17"/>
  <c r="G23" i="36"/>
  <c r="G25" i="36" s="1"/>
  <c r="G26" i="36" s="1"/>
  <c r="G12" i="3"/>
  <c r="G19" i="3"/>
  <c r="G28" i="15" s="1"/>
  <c r="S10" i="3"/>
  <c r="R21" i="3"/>
  <c r="F8" i="11"/>
  <c r="F11" i="11"/>
  <c r="F13" i="11" s="1"/>
  <c r="F15" i="11" s="1"/>
  <c r="G7" i="29"/>
  <c r="H51" i="17"/>
  <c r="H5" i="17"/>
  <c r="G6" i="14"/>
  <c r="G5" i="31"/>
  <c r="H39" i="17"/>
  <c r="G8" i="30"/>
  <c r="I29" i="15"/>
  <c r="H32" i="12"/>
  <c r="J23" i="10"/>
  <c r="I28" i="10"/>
  <c r="H23" i="12" s="1"/>
  <c r="L13" i="10"/>
  <c r="K17" i="10"/>
  <c r="K19" i="10" s="1"/>
  <c r="I4" i="11"/>
  <c r="J28" i="16"/>
  <c r="L52" i="18"/>
  <c r="K14" i="4"/>
  <c r="K6" i="12" s="1"/>
  <c r="K5" i="16"/>
  <c r="J36" i="15"/>
  <c r="I14" i="12"/>
  <c r="J4" i="36"/>
  <c r="J7" i="36" s="1"/>
  <c r="J17" i="36"/>
  <c r="J20" i="36" s="1"/>
  <c r="J9" i="12"/>
  <c r="J43" i="36"/>
  <c r="J46" i="36" s="1"/>
  <c r="J30" i="36"/>
  <c r="J33" i="36" s="1"/>
  <c r="L25" i="10"/>
  <c r="I9" i="36"/>
  <c r="I48" i="36"/>
  <c r="I35" i="36"/>
  <c r="I22" i="36"/>
  <c r="G6" i="35"/>
  <c r="D8" i="16"/>
  <c r="D12" i="16" s="1"/>
  <c r="E8" i="16"/>
  <c r="E12" i="16" s="1"/>
  <c r="C5" i="2"/>
  <c r="B19" i="30"/>
  <c r="C11" i="2"/>
  <c r="B16" i="29"/>
  <c r="C9" i="2"/>
  <c r="C15" i="2"/>
  <c r="C6" i="2"/>
  <c r="C12" i="2"/>
  <c r="C10" i="2"/>
  <c r="C20" i="17"/>
  <c r="C7" i="2"/>
  <c r="C8" i="2"/>
  <c r="B23" i="2"/>
  <c r="B20" i="2"/>
  <c r="B19" i="2" s="1"/>
  <c r="D27" i="16"/>
  <c r="C38" i="17"/>
  <c r="B34" i="12"/>
  <c r="L23" i="16"/>
  <c r="L41" i="15"/>
  <c r="K19" i="12"/>
  <c r="C13" i="2"/>
  <c r="H35" i="36"/>
  <c r="H29" i="12"/>
  <c r="H22" i="36"/>
  <c r="H9" i="36"/>
  <c r="H48" i="36"/>
  <c r="J43" i="15"/>
  <c r="J5" i="11"/>
  <c r="K9" i="6"/>
  <c r="K16" i="12" s="1"/>
  <c r="L43" i="18"/>
  <c r="J19" i="12"/>
  <c r="J21" i="12" s="1"/>
  <c r="K30" i="5"/>
  <c r="K18" i="12" s="1"/>
  <c r="K41" i="15"/>
  <c r="C5" i="14" l="1"/>
  <c r="C9" i="14" s="1"/>
  <c r="C7" i="35"/>
  <c r="F21" i="15"/>
  <c r="G8" i="16" s="1"/>
  <c r="G12" i="16" s="1"/>
  <c r="E31" i="12"/>
  <c r="I32" i="12"/>
  <c r="J29" i="15"/>
  <c r="K23" i="10"/>
  <c r="J28" i="10"/>
  <c r="I23" i="12" s="1"/>
  <c r="I29" i="12" s="1"/>
  <c r="K20" i="3"/>
  <c r="L11" i="3"/>
  <c r="L20" i="3" s="1"/>
  <c r="G11" i="11"/>
  <c r="G13" i="11" s="1"/>
  <c r="G15" i="11" s="1"/>
  <c r="G8" i="11"/>
  <c r="H36" i="36"/>
  <c r="H38" i="36" s="1"/>
  <c r="H39" i="36" s="1"/>
  <c r="J21" i="16"/>
  <c r="I36" i="17"/>
  <c r="H10" i="36"/>
  <c r="H12" i="36" s="1"/>
  <c r="H13" i="36" s="1"/>
  <c r="H23" i="36"/>
  <c r="H25" i="36" s="1"/>
  <c r="H26" i="36" s="1"/>
  <c r="I22" i="15"/>
  <c r="H5" i="23"/>
  <c r="H8" i="23" s="1"/>
  <c r="H12" i="23" s="1"/>
  <c r="H14" i="23" s="1"/>
  <c r="H16" i="23" s="1"/>
  <c r="H49" i="36"/>
  <c r="H10" i="3"/>
  <c r="G21" i="3"/>
  <c r="G30" i="15" s="1"/>
  <c r="F27" i="16"/>
  <c r="E38" i="17"/>
  <c r="E30" i="17" s="1"/>
  <c r="D34" i="12"/>
  <c r="H51" i="36"/>
  <c r="H52" i="36" s="1"/>
  <c r="H8" i="30"/>
  <c r="H5" i="31"/>
  <c r="I39" i="17"/>
  <c r="I51" i="17"/>
  <c r="H7" i="29"/>
  <c r="H6" i="14"/>
  <c r="I5" i="17"/>
  <c r="S11" i="3"/>
  <c r="S20" i="3" s="1"/>
  <c r="E7" i="14" s="1"/>
  <c r="S19" i="3"/>
  <c r="H6" i="11"/>
  <c r="I10" i="16"/>
  <c r="L17" i="10"/>
  <c r="L19" i="10"/>
  <c r="K17" i="36"/>
  <c r="K20" i="36" s="1"/>
  <c r="K43" i="36"/>
  <c r="K46" i="36" s="1"/>
  <c r="K4" i="36"/>
  <c r="K7" i="36" s="1"/>
  <c r="K30" i="36"/>
  <c r="K33" i="36" s="1"/>
  <c r="K9" i="12"/>
  <c r="K36" i="15"/>
  <c r="L5" i="16"/>
  <c r="J14" i="12"/>
  <c r="J4" i="11"/>
  <c r="K28" i="16"/>
  <c r="J35" i="36"/>
  <c r="J9" i="36"/>
  <c r="J22" i="36"/>
  <c r="J48" i="36"/>
  <c r="B5" i="14"/>
  <c r="B9" i="14" s="1"/>
  <c r="B7" i="35"/>
  <c r="C21" i="2"/>
  <c r="C23" i="2"/>
  <c r="B26" i="29"/>
  <c r="B13" i="34"/>
  <c r="O16" i="34" s="1"/>
  <c r="B9" i="34"/>
  <c r="M16" i="34" s="1"/>
  <c r="B23" i="30"/>
  <c r="C7" i="15"/>
  <c r="B7" i="15"/>
  <c r="C19" i="2"/>
  <c r="K21" i="12"/>
  <c r="M23" i="16"/>
  <c r="C30" i="17"/>
  <c r="L5" i="11"/>
  <c r="L43" i="15"/>
  <c r="K43" i="15"/>
  <c r="K5" i="11"/>
  <c r="C20" i="2"/>
  <c r="B13" i="15"/>
  <c r="B11" i="17"/>
  <c r="B20" i="28"/>
  <c r="A24" i="28" s="1"/>
  <c r="S12" i="3" l="1"/>
  <c r="D7" i="35"/>
  <c r="D5" i="14"/>
  <c r="D9" i="14" s="1"/>
  <c r="H19" i="3"/>
  <c r="H28" i="15" s="1"/>
  <c r="H12" i="3"/>
  <c r="L29" i="15"/>
  <c r="K32" i="12"/>
  <c r="K29" i="15"/>
  <c r="J32" i="12"/>
  <c r="I7" i="29"/>
  <c r="J39" i="17"/>
  <c r="I8" i="30"/>
  <c r="J51" i="17"/>
  <c r="I6" i="14"/>
  <c r="H11" i="11"/>
  <c r="H13" i="11" s="1"/>
  <c r="H15" i="11" s="1"/>
  <c r="H8" i="11"/>
  <c r="F31" i="12"/>
  <c r="G21" i="15"/>
  <c r="H8" i="16" s="1"/>
  <c r="H12" i="16" s="1"/>
  <c r="J22" i="15"/>
  <c r="I23" i="36"/>
  <c r="I25" i="36" s="1"/>
  <c r="I26" i="36" s="1"/>
  <c r="I49" i="36"/>
  <c r="I51" i="36" s="1"/>
  <c r="I52" i="36" s="1"/>
  <c r="I36" i="36"/>
  <c r="I38" i="36" s="1"/>
  <c r="I39" i="36" s="1"/>
  <c r="K21" i="16"/>
  <c r="I10" i="36"/>
  <c r="I12" i="36" s="1"/>
  <c r="I13" i="36" s="1"/>
  <c r="J36" i="17"/>
  <c r="G27" i="16"/>
  <c r="F38" i="17"/>
  <c r="F30" i="17" s="1"/>
  <c r="E34" i="12"/>
  <c r="S21" i="3"/>
  <c r="T10" i="3"/>
  <c r="I6" i="11"/>
  <c r="J10" i="16"/>
  <c r="L23" i="10"/>
  <c r="L28" i="10" s="1"/>
  <c r="K23" i="12" s="1"/>
  <c r="K28" i="10"/>
  <c r="J23" i="12" s="1"/>
  <c r="L28" i="16"/>
  <c r="K4" i="11"/>
  <c r="L36" i="15"/>
  <c r="M5" i="16"/>
  <c r="K14" i="12"/>
  <c r="B11" i="14"/>
  <c r="C10" i="14" s="1"/>
  <c r="C7" i="16"/>
  <c r="B9" i="15"/>
  <c r="B24" i="15" s="1"/>
  <c r="D7" i="15"/>
  <c r="C9" i="15"/>
  <c r="C13" i="15"/>
  <c r="C9" i="16"/>
  <c r="K9" i="36"/>
  <c r="K35" i="36"/>
  <c r="K22" i="36"/>
  <c r="K48" i="36"/>
  <c r="L36" i="17" l="1"/>
  <c r="K49" i="36"/>
  <c r="L22" i="15"/>
  <c r="K23" i="36"/>
  <c r="K10" i="36"/>
  <c r="K36" i="36"/>
  <c r="M21" i="16"/>
  <c r="K12" i="36"/>
  <c r="K13" i="36" s="1"/>
  <c r="K29" i="12"/>
  <c r="G38" i="17"/>
  <c r="G30" i="17" s="1"/>
  <c r="F34" i="12"/>
  <c r="H27" i="16"/>
  <c r="E5" i="14"/>
  <c r="E9" i="14" s="1"/>
  <c r="E7" i="35"/>
  <c r="J8" i="30"/>
  <c r="J7" i="29"/>
  <c r="K51" i="17"/>
  <c r="J6" i="14"/>
  <c r="K39" i="17"/>
  <c r="K7" i="29"/>
  <c r="K8" i="30"/>
  <c r="L51" i="17"/>
  <c r="L39" i="17"/>
  <c r="K6" i="14"/>
  <c r="I8" i="11"/>
  <c r="I11" i="11"/>
  <c r="I13" i="11" s="1"/>
  <c r="I15" i="11" s="1"/>
  <c r="H31" i="12" s="1"/>
  <c r="K10" i="16"/>
  <c r="J6" i="11"/>
  <c r="G31" i="12"/>
  <c r="H21" i="15"/>
  <c r="I8" i="16" s="1"/>
  <c r="I12" i="16" s="1"/>
  <c r="K51" i="36"/>
  <c r="K52" i="36" s="1"/>
  <c r="K25" i="36"/>
  <c r="K26" i="36" s="1"/>
  <c r="K38" i="36"/>
  <c r="K39" i="36" s="1"/>
  <c r="J49" i="36"/>
  <c r="J51" i="36" s="1"/>
  <c r="J52" i="36" s="1"/>
  <c r="L21" i="16"/>
  <c r="J10" i="36"/>
  <c r="J12" i="36" s="1"/>
  <c r="J13" i="36" s="1"/>
  <c r="J36" i="36"/>
  <c r="J38" i="36" s="1"/>
  <c r="J39" i="36" s="1"/>
  <c r="K22" i="15"/>
  <c r="K36" i="17"/>
  <c r="J29" i="12"/>
  <c r="J23" i="36"/>
  <c r="J25" i="36" s="1"/>
  <c r="J26" i="36" s="1"/>
  <c r="T19" i="3"/>
  <c r="T11" i="3"/>
  <c r="T20" i="3" s="1"/>
  <c r="F7" i="14" s="1"/>
  <c r="T12" i="3"/>
  <c r="H21" i="3"/>
  <c r="H30" i="15" s="1"/>
  <c r="I10" i="3"/>
  <c r="L4" i="11"/>
  <c r="M28" i="16"/>
  <c r="C12" i="16"/>
  <c r="C33" i="16" s="1"/>
  <c r="C35" i="16" s="1"/>
  <c r="D34" i="16" s="1"/>
  <c r="B12" i="14"/>
  <c r="B13" i="14" s="1"/>
  <c r="B35" i="12" s="1"/>
  <c r="B33" i="12" s="1"/>
  <c r="D13" i="15"/>
  <c r="B13" i="33"/>
  <c r="I21" i="15"/>
  <c r="J8" i="16" s="1"/>
  <c r="J12" i="16" s="1"/>
  <c r="E7" i="15"/>
  <c r="D9" i="15"/>
  <c r="C11" i="14"/>
  <c r="D10" i="14" s="1"/>
  <c r="U10" i="3" l="1"/>
  <c r="T21" i="3"/>
  <c r="J11" i="11"/>
  <c r="J13" i="11" s="1"/>
  <c r="J15" i="11" s="1"/>
  <c r="J8" i="11"/>
  <c r="F7" i="35"/>
  <c r="F5" i="14"/>
  <c r="F9" i="14" s="1"/>
  <c r="L6" i="11"/>
  <c r="M10" i="16"/>
  <c r="I12" i="3"/>
  <c r="I19" i="3"/>
  <c r="I28" i="15" s="1"/>
  <c r="K6" i="11"/>
  <c r="L10" i="16"/>
  <c r="I27" i="16"/>
  <c r="H38" i="17"/>
  <c r="H30" i="17" s="1"/>
  <c r="G34" i="12"/>
  <c r="B47" i="15"/>
  <c r="C37" i="16" s="1"/>
  <c r="C39" i="16" s="1"/>
  <c r="B36" i="12"/>
  <c r="C3" i="17" s="1"/>
  <c r="C11" i="17" s="1"/>
  <c r="D30" i="16"/>
  <c r="D32" i="16" s="1"/>
  <c r="D33" i="16" s="1"/>
  <c r="D35" i="16" s="1"/>
  <c r="C12" i="14"/>
  <c r="C13" i="14" s="1"/>
  <c r="C35" i="12" s="1"/>
  <c r="C33" i="12" s="1"/>
  <c r="C29" i="17"/>
  <c r="C33" i="17" s="1"/>
  <c r="C42" i="17" s="1"/>
  <c r="B6" i="34"/>
  <c r="B6" i="30"/>
  <c r="B11" i="30" s="1"/>
  <c r="B15" i="30" s="1"/>
  <c r="B41" i="12"/>
  <c r="C18" i="15"/>
  <c r="C19" i="15" s="1"/>
  <c r="B4" i="31"/>
  <c r="D4" i="26"/>
  <c r="D5" i="26" s="1"/>
  <c r="C50" i="17"/>
  <c r="C55" i="17" s="1"/>
  <c r="C58" i="17" s="1"/>
  <c r="C60" i="17" s="1"/>
  <c r="B8" i="35"/>
  <c r="J27" i="16"/>
  <c r="I38" i="17"/>
  <c r="H34" i="12"/>
  <c r="E13" i="15"/>
  <c r="C13" i="33"/>
  <c r="D11" i="14"/>
  <c r="E10" i="14" s="1"/>
  <c r="E9" i="15"/>
  <c r="F7" i="15"/>
  <c r="B29" i="33"/>
  <c r="B50" i="15" l="1"/>
  <c r="B52" i="15" s="1"/>
  <c r="G5" i="14"/>
  <c r="G7" i="35"/>
  <c r="I31" i="12"/>
  <c r="J21" i="15"/>
  <c r="K8" i="16" s="1"/>
  <c r="K12" i="16" s="1"/>
  <c r="K11" i="11"/>
  <c r="K13" i="11" s="1"/>
  <c r="K15" i="11" s="1"/>
  <c r="K8" i="11"/>
  <c r="L8" i="11"/>
  <c r="L11" i="11"/>
  <c r="L13" i="11" s="1"/>
  <c r="L15" i="11" s="1"/>
  <c r="I21" i="3"/>
  <c r="I30" i="15" s="1"/>
  <c r="J10" i="3"/>
  <c r="U11" i="3"/>
  <c r="U20" i="3" s="1"/>
  <c r="G7" i="14" s="1"/>
  <c r="U19" i="3"/>
  <c r="B5" i="29"/>
  <c r="B10" i="29" s="1"/>
  <c r="B13" i="29" s="1"/>
  <c r="C36" i="12"/>
  <c r="D50" i="17" s="1"/>
  <c r="D55" i="17" s="1"/>
  <c r="D58" i="17" s="1"/>
  <c r="E30" i="16"/>
  <c r="E32" i="16" s="1"/>
  <c r="E33" i="16" s="1"/>
  <c r="D12" i="26"/>
  <c r="B12" i="28" s="1"/>
  <c r="B13" i="28" s="1"/>
  <c r="D13" i="26"/>
  <c r="B9" i="28" s="1"/>
  <c r="B10" i="28" s="1"/>
  <c r="G7" i="15"/>
  <c r="F9" i="15"/>
  <c r="E11" i="14"/>
  <c r="F10" i="14" s="1"/>
  <c r="C29" i="33"/>
  <c r="I30" i="17"/>
  <c r="B12" i="31"/>
  <c r="B16" i="31" s="1"/>
  <c r="B14" i="31"/>
  <c r="B17" i="31" s="1"/>
  <c r="D13" i="33"/>
  <c r="D12" i="14"/>
  <c r="D13" i="14" s="1"/>
  <c r="D35" i="12" s="1"/>
  <c r="D16" i="15"/>
  <c r="B30" i="33"/>
  <c r="B32" i="33" s="1"/>
  <c r="B34" i="33" s="1"/>
  <c r="B14" i="33"/>
  <c r="B16" i="33" s="1"/>
  <c r="B18" i="33" s="1"/>
  <c r="C24" i="15"/>
  <c r="F13" i="15"/>
  <c r="C47" i="15"/>
  <c r="E34" i="16"/>
  <c r="H5" i="14"/>
  <c r="B23" i="29"/>
  <c r="C15" i="17"/>
  <c r="C4" i="31" l="1"/>
  <c r="C5" i="29"/>
  <c r="C10" i="29" s="1"/>
  <c r="J12" i="3"/>
  <c r="J19" i="3"/>
  <c r="J28" i="15" s="1"/>
  <c r="E4" i="26"/>
  <c r="E5" i="26" s="1"/>
  <c r="E13" i="26" s="1"/>
  <c r="C9" i="28" s="1"/>
  <c r="C10" i="28" s="1"/>
  <c r="K21" i="15"/>
  <c r="L8" i="16" s="1"/>
  <c r="L12" i="16" s="1"/>
  <c r="J31" i="12"/>
  <c r="G9" i="14"/>
  <c r="I34" i="12"/>
  <c r="I5" i="14" s="1"/>
  <c r="J38" i="17"/>
  <c r="J30" i="17" s="1"/>
  <c r="K27" i="16"/>
  <c r="C6" i="34"/>
  <c r="D18" i="15"/>
  <c r="D19" i="15" s="1"/>
  <c r="C8" i="35"/>
  <c r="D29" i="17"/>
  <c r="D33" i="17" s="1"/>
  <c r="D42" i="17" s="1"/>
  <c r="U12" i="3"/>
  <c r="L21" i="15"/>
  <c r="K31" i="12"/>
  <c r="C41" i="12"/>
  <c r="C6" i="30"/>
  <c r="C11" i="30" s="1"/>
  <c r="C15" i="30" s="1"/>
  <c r="D3" i="17"/>
  <c r="D11" i="17" s="1"/>
  <c r="D15" i="17" s="1"/>
  <c r="E35" i="16"/>
  <c r="F34" i="16" s="1"/>
  <c r="D33" i="12"/>
  <c r="F30" i="16"/>
  <c r="F32" i="16" s="1"/>
  <c r="F33" i="16" s="1"/>
  <c r="D36" i="12"/>
  <c r="D37" i="16"/>
  <c r="D39" i="16" s="1"/>
  <c r="C50" i="15"/>
  <c r="C52" i="15" s="1"/>
  <c r="D47" i="15"/>
  <c r="E13" i="33"/>
  <c r="D29" i="33"/>
  <c r="C14" i="31"/>
  <c r="C12" i="31"/>
  <c r="H7" i="15"/>
  <c r="G9" i="15"/>
  <c r="C13" i="29"/>
  <c r="C23" i="29"/>
  <c r="F11" i="14"/>
  <c r="G10" i="14" s="1"/>
  <c r="G13" i="15"/>
  <c r="E12" i="14"/>
  <c r="E13" i="14" s="1"/>
  <c r="E35" i="12" s="1"/>
  <c r="B16" i="28"/>
  <c r="M8" i="16" l="1"/>
  <c r="M12" i="16" s="1"/>
  <c r="D41" i="12"/>
  <c r="E12" i="26"/>
  <c r="C12" i="28" s="1"/>
  <c r="C13" i="28" s="1"/>
  <c r="C14" i="33"/>
  <c r="C16" i="33" s="1"/>
  <c r="C18" i="33" s="1"/>
  <c r="D24" i="15"/>
  <c r="U21" i="3"/>
  <c r="V10" i="3"/>
  <c r="M27" i="16"/>
  <c r="K34" i="12"/>
  <c r="K5" i="14" s="1"/>
  <c r="L38" i="17"/>
  <c r="L30" i="17" s="1"/>
  <c r="L27" i="16"/>
  <c r="K38" i="17"/>
  <c r="K30" i="17" s="1"/>
  <c r="J34" i="12"/>
  <c r="J5" i="14" s="1"/>
  <c r="K10" i="3"/>
  <c r="J21" i="3"/>
  <c r="J30" i="15" s="1"/>
  <c r="E16" i="15"/>
  <c r="C30" i="33"/>
  <c r="C32" i="33" s="1"/>
  <c r="C34" i="33" s="1"/>
  <c r="E33" i="12"/>
  <c r="G30" i="16"/>
  <c r="G32" i="16" s="1"/>
  <c r="G33" i="16" s="1"/>
  <c r="E36" i="12"/>
  <c r="E41" i="12" s="1"/>
  <c r="C16" i="28"/>
  <c r="F12" i="14"/>
  <c r="F13" i="14" s="1"/>
  <c r="F35" i="12" s="1"/>
  <c r="D6" i="34"/>
  <c r="D5" i="29"/>
  <c r="D10" i="29" s="1"/>
  <c r="E18" i="15"/>
  <c r="D6" i="30"/>
  <c r="D11" i="30" s="1"/>
  <c r="D15" i="30" s="1"/>
  <c r="F4" i="26"/>
  <c r="F5" i="26" s="1"/>
  <c r="D4" i="31"/>
  <c r="E50" i="17"/>
  <c r="E55" i="17" s="1"/>
  <c r="E58" i="17" s="1"/>
  <c r="E3" i="17"/>
  <c r="E11" i="17" s="1"/>
  <c r="D8" i="35"/>
  <c r="E29" i="17"/>
  <c r="E33" i="17" s="1"/>
  <c r="E42" i="17" s="1"/>
  <c r="F13" i="33"/>
  <c r="H13" i="15"/>
  <c r="I7" i="15"/>
  <c r="H9" i="15"/>
  <c r="D50" i="15"/>
  <c r="D52" i="15" s="1"/>
  <c r="E37" i="16"/>
  <c r="E39" i="16" s="1"/>
  <c r="B18" i="28"/>
  <c r="B24" i="28"/>
  <c r="G11" i="14"/>
  <c r="H10" i="14" s="1"/>
  <c r="E29" i="33"/>
  <c r="F35" i="16"/>
  <c r="K12" i="3" l="1"/>
  <c r="K19" i="3"/>
  <c r="K28" i="15" s="1"/>
  <c r="V11" i="3"/>
  <c r="V20" i="3" s="1"/>
  <c r="H7" i="14" s="1"/>
  <c r="H9" i="14" s="1"/>
  <c r="H11" i="14" s="1"/>
  <c r="I10" i="14" s="1"/>
  <c r="V12" i="3"/>
  <c r="V19" i="3"/>
  <c r="E19" i="15"/>
  <c r="E24" i="15" s="1"/>
  <c r="G34" i="16"/>
  <c r="G35" i="16" s="1"/>
  <c r="E47" i="15"/>
  <c r="J7" i="15"/>
  <c r="I9" i="15"/>
  <c r="F29" i="33"/>
  <c r="E15" i="17"/>
  <c r="D30" i="33"/>
  <c r="D32" i="33" s="1"/>
  <c r="D34" i="33" s="1"/>
  <c r="E8" i="35"/>
  <c r="E6" i="34"/>
  <c r="F18" i="15"/>
  <c r="F29" i="17"/>
  <c r="F33" i="17" s="1"/>
  <c r="F42" i="17" s="1"/>
  <c r="F50" i="17"/>
  <c r="F55" i="17" s="1"/>
  <c r="F58" i="17" s="1"/>
  <c r="E5" i="29"/>
  <c r="E10" i="29" s="1"/>
  <c r="F3" i="17"/>
  <c r="F11" i="17" s="1"/>
  <c r="F15" i="17" s="1"/>
  <c r="G4" i="26"/>
  <c r="G5" i="26" s="1"/>
  <c r="E6" i="30"/>
  <c r="E11" i="30" s="1"/>
  <c r="E15" i="30" s="1"/>
  <c r="E4" i="31"/>
  <c r="I13" i="15"/>
  <c r="J13" i="15" s="1"/>
  <c r="K13" i="15" s="1"/>
  <c r="L13" i="15" s="1"/>
  <c r="D14" i="31"/>
  <c r="D12" i="31"/>
  <c r="D23" i="29"/>
  <c r="D13" i="29"/>
  <c r="C24" i="28"/>
  <c r="C18" i="28"/>
  <c r="F33" i="12"/>
  <c r="H30" i="16"/>
  <c r="H32" i="16" s="1"/>
  <c r="H33" i="16" s="1"/>
  <c r="F36" i="12"/>
  <c r="F41" i="12" s="1"/>
  <c r="G12" i="14"/>
  <c r="G13" i="14" s="1"/>
  <c r="G35" i="12" s="1"/>
  <c r="G13" i="33"/>
  <c r="F13" i="26"/>
  <c r="D9" i="28" s="1"/>
  <c r="D10" i="28" s="1"/>
  <c r="F12" i="26"/>
  <c r="D12" i="28" s="1"/>
  <c r="D13" i="28" s="1"/>
  <c r="F16" i="15" l="1"/>
  <c r="V21" i="3"/>
  <c r="W10" i="3"/>
  <c r="D14" i="33"/>
  <c r="D16" i="33" s="1"/>
  <c r="D18" i="33" s="1"/>
  <c r="L10" i="3"/>
  <c r="K21" i="3"/>
  <c r="K30" i="15" s="1"/>
  <c r="O17" i="34"/>
  <c r="O18" i="34" s="1"/>
  <c r="D16" i="28"/>
  <c r="D24" i="28" s="1"/>
  <c r="F19" i="15"/>
  <c r="F24" i="15" s="1"/>
  <c r="H12" i="14"/>
  <c r="H13" i="14" s="1"/>
  <c r="H35" i="12" s="1"/>
  <c r="J30" i="16" s="1"/>
  <c r="J32" i="16" s="1"/>
  <c r="J33" i="16" s="1"/>
  <c r="E12" i="31"/>
  <c r="E14" i="31"/>
  <c r="F37" i="16"/>
  <c r="F39" i="16" s="1"/>
  <c r="E50" i="15"/>
  <c r="E52" i="15" s="1"/>
  <c r="G33" i="12"/>
  <c r="I30" i="16"/>
  <c r="I32" i="16" s="1"/>
  <c r="I33" i="16" s="1"/>
  <c r="G36" i="12"/>
  <c r="G41" i="12" s="1"/>
  <c r="F47" i="15"/>
  <c r="H34" i="16"/>
  <c r="H35" i="16" s="1"/>
  <c r="G13" i="26"/>
  <c r="E9" i="28" s="1"/>
  <c r="E10" i="28" s="1"/>
  <c r="G12" i="26"/>
  <c r="E12" i="28" s="1"/>
  <c r="E13" i="28" s="1"/>
  <c r="E23" i="29"/>
  <c r="E13" i="29"/>
  <c r="G29" i="33"/>
  <c r="F6" i="34"/>
  <c r="G29" i="17"/>
  <c r="G33" i="17" s="1"/>
  <c r="G42" i="17" s="1"/>
  <c r="F4" i="31"/>
  <c r="G3" i="17"/>
  <c r="G11" i="17" s="1"/>
  <c r="G15" i="17" s="1"/>
  <c r="G18" i="15"/>
  <c r="F6" i="30"/>
  <c r="F11" i="30" s="1"/>
  <c r="F15" i="30" s="1"/>
  <c r="H4" i="26"/>
  <c r="H5" i="26" s="1"/>
  <c r="F5" i="29"/>
  <c r="F10" i="29" s="1"/>
  <c r="G50" i="17"/>
  <c r="G55" i="17" s="1"/>
  <c r="G58" i="17" s="1"/>
  <c r="F8" i="35"/>
  <c r="K7" i="15"/>
  <c r="J9" i="15"/>
  <c r="H33" i="12" l="1"/>
  <c r="W11" i="3"/>
  <c r="W20" i="3" s="1"/>
  <c r="I7" i="14" s="1"/>
  <c r="I9" i="14" s="1"/>
  <c r="I11" i="14" s="1"/>
  <c r="J10" i="14" s="1"/>
  <c r="W19" i="3"/>
  <c r="L19" i="3"/>
  <c r="L28" i="15" s="1"/>
  <c r="L12" i="3"/>
  <c r="L21" i="3" s="1"/>
  <c r="L30" i="15" s="1"/>
  <c r="E14" i="33"/>
  <c r="E16" i="33" s="1"/>
  <c r="E18" i="33" s="1"/>
  <c r="E30" i="33"/>
  <c r="E32" i="33" s="1"/>
  <c r="E34" i="33" s="1"/>
  <c r="D18" i="28"/>
  <c r="O19" i="34"/>
  <c r="G16" i="15"/>
  <c r="G19" i="15" s="1"/>
  <c r="H16" i="15" s="1"/>
  <c r="H36" i="12"/>
  <c r="H41" i="12" s="1"/>
  <c r="I34" i="16"/>
  <c r="I35" i="16" s="1"/>
  <c r="G47" i="15"/>
  <c r="H13" i="26"/>
  <c r="F9" i="28" s="1"/>
  <c r="F10" i="28" s="1"/>
  <c r="H12" i="26"/>
  <c r="F12" i="28" s="1"/>
  <c r="F13" i="28" s="1"/>
  <c r="E16" i="28"/>
  <c r="K9" i="15"/>
  <c r="L7" i="15"/>
  <c r="L9" i="15" s="1"/>
  <c r="F23" i="29"/>
  <c r="F13" i="29"/>
  <c r="G4" i="31"/>
  <c r="G5" i="29"/>
  <c r="G10" i="29" s="1"/>
  <c r="G8" i="35"/>
  <c r="G6" i="34"/>
  <c r="H18" i="15"/>
  <c r="H3" i="17"/>
  <c r="H11" i="17" s="1"/>
  <c r="H15" i="17" s="1"/>
  <c r="I4" i="26"/>
  <c r="I5" i="26" s="1"/>
  <c r="H29" i="17"/>
  <c r="H33" i="17" s="1"/>
  <c r="H42" i="17" s="1"/>
  <c r="G6" i="30"/>
  <c r="G11" i="30" s="1"/>
  <c r="G15" i="30" s="1"/>
  <c r="H50" i="17"/>
  <c r="H55" i="17" s="1"/>
  <c r="H58" i="17" s="1"/>
  <c r="F12" i="31"/>
  <c r="F14" i="31"/>
  <c r="G37" i="16"/>
  <c r="G39" i="16" s="1"/>
  <c r="F50" i="15"/>
  <c r="F52" i="15" s="1"/>
  <c r="I12" i="14" l="1"/>
  <c r="I13" i="14" s="1"/>
  <c r="I35" i="12" s="1"/>
  <c r="K30" i="16" s="1"/>
  <c r="K32" i="16" s="1"/>
  <c r="K33" i="16" s="1"/>
  <c r="I29" i="17"/>
  <c r="I33" i="17" s="1"/>
  <c r="I42" i="17" s="1"/>
  <c r="H6" i="34"/>
  <c r="M17" i="34" s="1"/>
  <c r="M18" i="34" s="1"/>
  <c r="W12" i="3"/>
  <c r="X10" i="3"/>
  <c r="W21" i="3"/>
  <c r="H6" i="30"/>
  <c r="H11" i="30" s="1"/>
  <c r="H15" i="30" s="1"/>
  <c r="H5" i="29"/>
  <c r="H10" i="29" s="1"/>
  <c r="H23" i="29" s="1"/>
  <c r="H4" i="31"/>
  <c r="I18" i="15"/>
  <c r="I50" i="17"/>
  <c r="I55" i="17" s="1"/>
  <c r="I36" i="12"/>
  <c r="J50" i="17" s="1"/>
  <c r="J55" i="17" s="1"/>
  <c r="C26" i="17"/>
  <c r="F16" i="28"/>
  <c r="F24" i="28" s="1"/>
  <c r="J4" i="26"/>
  <c r="J5" i="26" s="1"/>
  <c r="J12" i="26" s="1"/>
  <c r="H12" i="28" s="1"/>
  <c r="H13" i="28" s="1"/>
  <c r="I3" i="17"/>
  <c r="I11" i="17" s="1"/>
  <c r="I15" i="17" s="1"/>
  <c r="C17" i="17" s="1"/>
  <c r="C22" i="17" s="1"/>
  <c r="H19" i="15"/>
  <c r="I16" i="15" s="1"/>
  <c r="F14" i="33"/>
  <c r="F16" i="33" s="1"/>
  <c r="F18" i="33" s="1"/>
  <c r="B19" i="33" s="1"/>
  <c r="G24" i="15"/>
  <c r="F30" i="33"/>
  <c r="F32" i="33" s="1"/>
  <c r="F34" i="33" s="1"/>
  <c r="I13" i="26"/>
  <c r="G9" i="28" s="1"/>
  <c r="G10" i="28" s="1"/>
  <c r="I12" i="26"/>
  <c r="G12" i="28" s="1"/>
  <c r="G13" i="28" s="1"/>
  <c r="E18" i="28"/>
  <c r="E24" i="28"/>
  <c r="G12" i="31"/>
  <c r="G14" i="31"/>
  <c r="H37" i="16"/>
  <c r="H39" i="16" s="1"/>
  <c r="G50" i="15"/>
  <c r="G23" i="29"/>
  <c r="G13" i="29"/>
  <c r="H47" i="15"/>
  <c r="J34" i="16"/>
  <c r="J35" i="16" s="1"/>
  <c r="I41" i="12" l="1"/>
  <c r="I6" i="30"/>
  <c r="I11" i="30" s="1"/>
  <c r="I15" i="30" s="1"/>
  <c r="I6" i="34"/>
  <c r="M19" i="34" s="1"/>
  <c r="J18" i="15"/>
  <c r="I5" i="29"/>
  <c r="I10" i="29" s="1"/>
  <c r="I23" i="29" s="1"/>
  <c r="X19" i="3"/>
  <c r="X11" i="3"/>
  <c r="X20" i="3" s="1"/>
  <c r="J7" i="14" s="1"/>
  <c r="J9" i="14" s="1"/>
  <c r="I19" i="15"/>
  <c r="I24" i="15" s="1"/>
  <c r="H13" i="29"/>
  <c r="J29" i="17"/>
  <c r="J33" i="17" s="1"/>
  <c r="J42" i="17" s="1"/>
  <c r="G30" i="33"/>
  <c r="G32" i="33" s="1"/>
  <c r="G34" i="33" s="1"/>
  <c r="B35" i="33" s="1"/>
  <c r="F18" i="28"/>
  <c r="G14" i="33"/>
  <c r="G16" i="33" s="1"/>
  <c r="G18" i="33" s="1"/>
  <c r="C24" i="17"/>
  <c r="J13" i="26"/>
  <c r="H9" i="28" s="1"/>
  <c r="H10" i="28" s="1"/>
  <c r="H16" i="28" s="1"/>
  <c r="G52" i="15"/>
  <c r="H24" i="15"/>
  <c r="G16" i="28"/>
  <c r="G18" i="28" s="1"/>
  <c r="I37" i="16"/>
  <c r="I39" i="16" s="1"/>
  <c r="H50" i="15"/>
  <c r="I47" i="15"/>
  <c r="K34" i="16"/>
  <c r="K35" i="16" s="1"/>
  <c r="I13" i="29" l="1"/>
  <c r="J16" i="15"/>
  <c r="J19" i="15" s="1"/>
  <c r="J24" i="15" s="1"/>
  <c r="X12" i="3"/>
  <c r="J11" i="14"/>
  <c r="K10" i="14" s="1"/>
  <c r="G24" i="28"/>
  <c r="H52" i="15"/>
  <c r="J37" i="16"/>
  <c r="J39" i="16" s="1"/>
  <c r="I50" i="15"/>
  <c r="I52" i="15" s="1"/>
  <c r="H24" i="28"/>
  <c r="H18" i="28"/>
  <c r="B19" i="28" s="1"/>
  <c r="B21" i="28" s="1"/>
  <c r="L34" i="16"/>
  <c r="J47" i="15"/>
  <c r="K16" i="15" l="1"/>
  <c r="J12" i="14"/>
  <c r="J13" i="14" s="1"/>
  <c r="J35" i="12" s="1"/>
  <c r="J36" i="12" s="1"/>
  <c r="L30" i="16"/>
  <c r="L32" i="16" s="1"/>
  <c r="L33" i="16" s="1"/>
  <c r="L35" i="16" s="1"/>
  <c r="K47" i="15" s="1"/>
  <c r="Y10" i="3"/>
  <c r="X21" i="3"/>
  <c r="B22" i="28"/>
  <c r="J50" i="15"/>
  <c r="J52" i="15" s="1"/>
  <c r="K37" i="16"/>
  <c r="K39" i="16" s="1"/>
  <c r="M34" i="16" l="1"/>
  <c r="Y19" i="3"/>
  <c r="Y11" i="3"/>
  <c r="Y20" i="3" s="1"/>
  <c r="K7" i="14" s="1"/>
  <c r="K9" i="14" s="1"/>
  <c r="K11" i="14" s="1"/>
  <c r="K12" i="14" s="1"/>
  <c r="K13" i="14" s="1"/>
  <c r="K35" i="12" s="1"/>
  <c r="Y12" i="3"/>
  <c r="Y21" i="3" s="1"/>
  <c r="J6" i="30"/>
  <c r="J11" i="30" s="1"/>
  <c r="J15" i="30" s="1"/>
  <c r="K29" i="17"/>
  <c r="K33" i="17" s="1"/>
  <c r="K42" i="17" s="1"/>
  <c r="J6" i="34"/>
  <c r="K50" i="17"/>
  <c r="K55" i="17" s="1"/>
  <c r="K18" i="15"/>
  <c r="K19" i="15" s="1"/>
  <c r="J5" i="29"/>
  <c r="J10" i="29" s="1"/>
  <c r="J41" i="12"/>
  <c r="L16" i="15"/>
  <c r="K24" i="15"/>
  <c r="K50" i="15"/>
  <c r="L37" i="16"/>
  <c r="L39" i="16" s="1"/>
  <c r="K36" i="12" l="1"/>
  <c r="M30" i="16"/>
  <c r="M32" i="16" s="1"/>
  <c r="M33" i="16" s="1"/>
  <c r="M35" i="16" s="1"/>
  <c r="L47" i="15" s="1"/>
  <c r="J13" i="29"/>
  <c r="J23" i="29"/>
  <c r="K52" i="15"/>
  <c r="L50" i="15" l="1"/>
  <c r="M37" i="16"/>
  <c r="M39" i="16" s="1"/>
  <c r="L29" i="17"/>
  <c r="L33" i="17" s="1"/>
  <c r="L42" i="17" s="1"/>
  <c r="C44" i="17" s="1"/>
  <c r="K6" i="34"/>
  <c r="B8" i="34" s="1"/>
  <c r="K5" i="29"/>
  <c r="K10" i="29" s="1"/>
  <c r="K6" i="30"/>
  <c r="K11" i="30" s="1"/>
  <c r="K15" i="30" s="1"/>
  <c r="B17" i="30" s="1"/>
  <c r="L50" i="17"/>
  <c r="L55" i="17" s="1"/>
  <c r="L18" i="15"/>
  <c r="L19" i="15" s="1"/>
  <c r="L24" i="15" s="1"/>
  <c r="K41" i="12"/>
  <c r="B25" i="30" l="1"/>
  <c r="B21" i="30"/>
  <c r="K13" i="29"/>
  <c r="B14" i="29" s="1"/>
  <c r="K23" i="29"/>
  <c r="B24" i="29" s="1"/>
  <c r="B15" i="34"/>
  <c r="B11" i="34"/>
  <c r="L52" i="15"/>
</calcChain>
</file>

<file path=xl/sharedStrings.xml><?xml version="1.0" encoding="utf-8"?>
<sst xmlns="http://schemas.openxmlformats.org/spreadsheetml/2006/main" count="1515" uniqueCount="755">
  <si>
    <t>Sr. No.</t>
  </si>
  <si>
    <t>Particulars</t>
  </si>
  <si>
    <t>Specifications</t>
  </si>
  <si>
    <t>In Rs. Lacs</t>
  </si>
  <si>
    <t>Land</t>
  </si>
  <si>
    <t>Technical Civil Works</t>
  </si>
  <si>
    <t xml:space="preserve">Civil area for sorting grading hall, precooling and others (420 sqm - Proc area 260 sqm) </t>
  </si>
  <si>
    <t>Non-Technical Civil Works</t>
  </si>
  <si>
    <t>Boundary wall, etc</t>
  </si>
  <si>
    <t>Plant and Machinery</t>
  </si>
  <si>
    <t>a. Grading Sorting Line</t>
  </si>
  <si>
    <t xml:space="preserve">2 MT/hr </t>
  </si>
  <si>
    <t>b. Pre-cooling</t>
  </si>
  <si>
    <t>b. Electricals</t>
  </si>
  <si>
    <t>Power &amp; controls cabling,
PCC &amp; MCC panel, Earthing, 
Indoor &amp; Outdoor lighting,  
Lighting Arrester &amp; other Misc eqpt</t>
  </si>
  <si>
    <t>C. Other Misc Equipments</t>
  </si>
  <si>
    <t>Testing devices, 
Weighing machine, strapping machine, etc, 
Crates - 1500 nos 
Dry type Fire Fighting</t>
  </si>
  <si>
    <t>D. Material Handling Equipments</t>
  </si>
  <si>
    <t>Hand pallet trucks- 2 Nos</t>
  </si>
  <si>
    <t>P&amp;P Expenses</t>
  </si>
  <si>
    <t xml:space="preserve">3% of TCW, NTCW and P&amp;M </t>
  </si>
  <si>
    <t>Contingencies</t>
  </si>
  <si>
    <t>2% of TCW, NTCW and P&amp;M</t>
  </si>
  <si>
    <t>Working Capital Margin</t>
  </si>
  <si>
    <t>Grand Total</t>
  </si>
  <si>
    <t>Project Glance</t>
  </si>
  <si>
    <t>Project Cost</t>
  </si>
  <si>
    <t>Amount (Rs in Lacs)</t>
  </si>
  <si>
    <t>Land Cost</t>
  </si>
  <si>
    <t>Total</t>
  </si>
  <si>
    <t xml:space="preserve">Means Of Finance </t>
  </si>
  <si>
    <t>Bank Term Loan</t>
  </si>
  <si>
    <t xml:space="preserve">Promoters' Contribution </t>
  </si>
  <si>
    <t>NHB Estimate</t>
  </si>
  <si>
    <t>Depreciation - SLM</t>
  </si>
  <si>
    <t>Depreciation - WDV</t>
  </si>
  <si>
    <t>Y1</t>
  </si>
  <si>
    <t>Y2</t>
  </si>
  <si>
    <t>Y3</t>
  </si>
  <si>
    <t>Y4</t>
  </si>
  <si>
    <t>Y5</t>
  </si>
  <si>
    <t>Y6</t>
  </si>
  <si>
    <t>Y7</t>
  </si>
  <si>
    <t>Building and Civil Works</t>
  </si>
  <si>
    <t>Building</t>
  </si>
  <si>
    <t>Opening Balance</t>
  </si>
  <si>
    <t>Depreciation @  3.17%</t>
  </si>
  <si>
    <t>Depreciation @  10 %</t>
  </si>
  <si>
    <t>Closing balance</t>
  </si>
  <si>
    <t>Machinery &amp; equipment</t>
  </si>
  <si>
    <t>Opening Bal</t>
  </si>
  <si>
    <t>Depreciaton @ 6.33%</t>
  </si>
  <si>
    <t>Depreciaton @ 15%</t>
  </si>
  <si>
    <t>Transport Vehicle</t>
  </si>
  <si>
    <t>Depreciaton @ 7.88%</t>
  </si>
  <si>
    <t>Depreciaton @ 30%</t>
  </si>
  <si>
    <t>Total Opening Balance</t>
  </si>
  <si>
    <t>Total Depreciation</t>
  </si>
  <si>
    <t>*Figures in Rs. Lakh</t>
  </si>
  <si>
    <t>Plant Capacity</t>
  </si>
  <si>
    <t>Total Annual Plant Capacity (MT)</t>
  </si>
  <si>
    <t xml:space="preserve">Job work Charges- Rs/MT </t>
  </si>
  <si>
    <t>JW Grade Output (MT)</t>
  </si>
  <si>
    <t>Pomegranates- Used for Beverage Processing</t>
  </si>
  <si>
    <t>Raw Material (MT)</t>
  </si>
  <si>
    <t>Opening Stock</t>
  </si>
  <si>
    <t xml:space="preserve">Purchase </t>
  </si>
  <si>
    <t>Consumed</t>
  </si>
  <si>
    <t>Closing stock</t>
  </si>
  <si>
    <t>Prices (per MT)</t>
  </si>
  <si>
    <t>Value of Opening Stock (Rs. Lakh)</t>
  </si>
  <si>
    <t>Value of Closing Stock (Rs. Lakh)</t>
  </si>
  <si>
    <t>Total JW Receipts (Rs. Lakh)</t>
  </si>
  <si>
    <t>Capacity of 6 MT X 2 units</t>
  </si>
  <si>
    <t>Rate (per MT)</t>
  </si>
  <si>
    <t>Purchases (Rs. In Lakh)</t>
  </si>
  <si>
    <t>#</t>
  </si>
  <si>
    <t>A</t>
  </si>
  <si>
    <t>Opn Stock</t>
  </si>
  <si>
    <t>Total Production</t>
  </si>
  <si>
    <t>Sales</t>
  </si>
  <si>
    <t>Closing Stock</t>
  </si>
  <si>
    <t>B</t>
  </si>
  <si>
    <t>C</t>
  </si>
  <si>
    <t>Selling Price (Rs/MT)</t>
  </si>
  <si>
    <t>All Products</t>
  </si>
  <si>
    <t>Sales (in Rs. Lakh)</t>
  </si>
  <si>
    <t>Total Sales</t>
  </si>
  <si>
    <t>Manpower Chart</t>
  </si>
  <si>
    <t>S.No.</t>
  </si>
  <si>
    <t>Dept.</t>
  </si>
  <si>
    <t>No.</t>
  </si>
  <si>
    <t>Monthly Salary</t>
  </si>
  <si>
    <t>Annual Income</t>
  </si>
  <si>
    <t>CEO</t>
  </si>
  <si>
    <t>Admin</t>
  </si>
  <si>
    <t>Accounts Head</t>
  </si>
  <si>
    <t>Marketing and Business Development Head</t>
  </si>
  <si>
    <t>Market BD Exec</t>
  </si>
  <si>
    <t>Accountant</t>
  </si>
  <si>
    <t>Admin Staff</t>
  </si>
  <si>
    <t>Security Staff</t>
  </si>
  <si>
    <t>factory</t>
  </si>
  <si>
    <t>Product and Quality Assurance Manager</t>
  </si>
  <si>
    <t>Plant Operators</t>
  </si>
  <si>
    <t>Maintenance Engineer</t>
  </si>
  <si>
    <t>Storekeeper</t>
  </si>
  <si>
    <t>Helpers</t>
  </si>
  <si>
    <t>300/day</t>
  </si>
  <si>
    <t>Basis</t>
  </si>
  <si>
    <t>Power Calc. (Fixed)</t>
  </si>
  <si>
    <t>Fixed Exp</t>
  </si>
  <si>
    <t>Office &amp; Admin</t>
  </si>
  <si>
    <t>Printing &amp; Stationery</t>
  </si>
  <si>
    <t>2000 p.m.</t>
  </si>
  <si>
    <t>Power Calc. (Variable)</t>
  </si>
  <si>
    <t>Telephone</t>
  </si>
  <si>
    <t>Internet &amp; Broadband</t>
  </si>
  <si>
    <t xml:space="preserve">1250 p.m. </t>
  </si>
  <si>
    <t>Office Electricity</t>
  </si>
  <si>
    <t>5 KVA (Power chart)</t>
  </si>
  <si>
    <t>Accounting Charges</t>
  </si>
  <si>
    <t>3000 p.m.</t>
  </si>
  <si>
    <t>Legal Expenses</t>
  </si>
  <si>
    <t>Admin Staff Salary</t>
  </si>
  <si>
    <t>Admin Manpower Chart</t>
  </si>
  <si>
    <t>Conveyance</t>
  </si>
  <si>
    <t>Travelling Expenses</t>
  </si>
  <si>
    <t xml:space="preserve">Perodicals </t>
  </si>
  <si>
    <t xml:space="preserve">1000 p.m. </t>
  </si>
  <si>
    <t>Staff Welfare</t>
  </si>
  <si>
    <t>10% of Staff Salaries</t>
  </si>
  <si>
    <t>Total (Office and Admin Fixed Exp)</t>
  </si>
  <si>
    <t>Factory Exp (Fixed)</t>
  </si>
  <si>
    <t>Repairs</t>
  </si>
  <si>
    <t>Insurance</t>
  </si>
  <si>
    <t>0.5% of the Capital Investment</t>
  </si>
  <si>
    <t>Factory Staff Salary</t>
  </si>
  <si>
    <t>Factory Staff Manpower Chart</t>
  </si>
  <si>
    <t>Electricity</t>
  </si>
  <si>
    <t>Total (Fixed Factory Exp)</t>
  </si>
  <si>
    <t>Variable Exp</t>
  </si>
  <si>
    <t>Labour</t>
  </si>
  <si>
    <t>Variable Manpower Chart</t>
  </si>
  <si>
    <t>Capacity Utilization</t>
  </si>
  <si>
    <t>Water</t>
  </si>
  <si>
    <t xml:space="preserve">50 Rs. Per day </t>
  </si>
  <si>
    <t>Wax and Other consumables</t>
  </si>
  <si>
    <t>Packaging Material</t>
  </si>
  <si>
    <t>Stocks of Safety Gear (gloves, shoes, disinfectants, etc)</t>
  </si>
  <si>
    <t>800/labour</t>
  </si>
  <si>
    <t>500/ton</t>
  </si>
  <si>
    <t>Repairs &amp; Maintainence</t>
  </si>
  <si>
    <t>Selling &amp; Dist Exp</t>
  </si>
  <si>
    <t>Misc Exp</t>
  </si>
  <si>
    <t>Total Variable Exp</t>
  </si>
  <si>
    <t>Factory Head*</t>
  </si>
  <si>
    <t>No of days of opertaion (JW Services)</t>
  </si>
  <si>
    <t>Capacity Utilization (JW Services)</t>
  </si>
  <si>
    <t>Capacity Utilization (Captive Operations)</t>
  </si>
  <si>
    <t>Job work Services</t>
  </si>
  <si>
    <t>Captive Operations</t>
  </si>
  <si>
    <t>No of days of opertaion (Captive Operations)</t>
  </si>
  <si>
    <t>Total Working days of the Facilty</t>
  </si>
  <si>
    <t>Rental Charges for Reefer van from third party</t>
  </si>
  <si>
    <t xml:space="preserve">Transportation Expenses </t>
  </si>
  <si>
    <t>W.C Margin</t>
  </si>
  <si>
    <t>W.C Loan</t>
  </si>
  <si>
    <t>Consolidated Profit and loss Account for the Project</t>
  </si>
  <si>
    <t xml:space="preserve">Revenue from Sale </t>
  </si>
  <si>
    <t xml:space="preserve">    Total Revenue</t>
  </si>
  <si>
    <t>Less:- Opening Stock of F.G.</t>
  </si>
  <si>
    <t>Add:-Closing Stock of F. G.</t>
  </si>
  <si>
    <t>Cost of Finish Goods</t>
  </si>
  <si>
    <t>Raw Material Purchased</t>
  </si>
  <si>
    <t>Add:- Opening Stock of R.M</t>
  </si>
  <si>
    <t>Less:-Closing Stock of R.M.</t>
  </si>
  <si>
    <t>Cost of Material Consumed</t>
  </si>
  <si>
    <t>Total Fixed exp</t>
  </si>
  <si>
    <t>Total Variable exp</t>
  </si>
  <si>
    <t>Preliminary exp written off</t>
  </si>
  <si>
    <t>Profit Before Interest and Depn</t>
  </si>
  <si>
    <t>Term loan interest</t>
  </si>
  <si>
    <t>Interest on WC</t>
  </si>
  <si>
    <t>Depreciation (SLM)</t>
  </si>
  <si>
    <t>Profit Before Tax</t>
  </si>
  <si>
    <t>Profit After Tax</t>
  </si>
  <si>
    <t>Cumuilative Reserve &amp; Surplus</t>
  </si>
  <si>
    <t xml:space="preserve">Less. Tax </t>
  </si>
  <si>
    <t xml:space="preserve">Repayment Schedule </t>
  </si>
  <si>
    <t>Interest rate -</t>
  </si>
  <si>
    <t>(in Lacs)</t>
  </si>
  <si>
    <t>Particluars</t>
  </si>
  <si>
    <t xml:space="preserve">Interest </t>
  </si>
  <si>
    <t>Principal Repayment</t>
  </si>
  <si>
    <t>EMI</t>
  </si>
  <si>
    <t>Closing Outstanding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</si>
  <si>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</si>
  <si>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</si>
  <si>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</si>
  <si>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</si>
  <si>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</si>
  <si>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</si>
  <si>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</si>
  <si>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</si>
  <si>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</si>
  <si>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</si>
  <si>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</si>
  <si>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</si>
  <si>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</si>
  <si>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</si>
  <si>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</si>
  <si>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</si>
  <si>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</si>
  <si>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</si>
  <si>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</si>
  <si>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</si>
  <si>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</si>
  <si>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</si>
  <si>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</si>
  <si>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</si>
  <si>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</si>
  <si>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</si>
  <si>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</si>
  <si>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</si>
  <si>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</si>
  <si>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</si>
  <si>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</si>
  <si>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</si>
  <si>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</si>
  <si>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</si>
  <si>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</si>
  <si>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</si>
  <si>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</si>
  <si>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</si>
  <si>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</si>
  <si>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4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</si>
  <si>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</si>
  <si>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</si>
  <si>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</si>
  <si>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</si>
  <si>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</si>
  <si>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</si>
  <si>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</si>
  <si>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</si>
  <si>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</si>
  <si>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</si>
  <si>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</si>
  <si>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</si>
  <si>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5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</si>
  <si>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</si>
  <si>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</si>
  <si>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</si>
  <si>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</si>
  <si>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</si>
  <si>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</si>
  <si>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</si>
  <si>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</si>
  <si>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</si>
  <si>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</si>
  <si>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</si>
  <si>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</si>
  <si>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6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</si>
  <si>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</si>
  <si>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</si>
  <si>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</si>
  <si>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</si>
  <si>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</si>
  <si>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</si>
  <si>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</si>
  <si>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</si>
  <si>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</si>
  <si>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</si>
  <si>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</si>
  <si>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</si>
  <si>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</si>
  <si>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</si>
  <si>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</si>
  <si>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</si>
  <si>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</si>
  <si>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</si>
  <si>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</si>
  <si>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</si>
  <si>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81</t>
  </si>
  <si>
    <t>Month 82</t>
  </si>
  <si>
    <t>Month 83</t>
  </si>
  <si>
    <t>Month 84</t>
  </si>
  <si>
    <t>Year 7</t>
  </si>
  <si>
    <t>Income Tax Calculations</t>
  </si>
  <si>
    <t>Profit As per P&amp;L</t>
  </si>
  <si>
    <t>Add: Depreciation by SLM method</t>
  </si>
  <si>
    <t>Less: Depreciation by WDV method</t>
  </si>
  <si>
    <t>Less: P&amp; P Expenses</t>
  </si>
  <si>
    <t>Taxable profit</t>
  </si>
  <si>
    <t xml:space="preserve">                    PROJECTED BALANCE SHEET                        </t>
  </si>
  <si>
    <t>LIABILITIES</t>
  </si>
  <si>
    <t>Promoters' Capital</t>
  </si>
  <si>
    <t>Total Capital</t>
  </si>
  <si>
    <t>Reserves &amp; Surplus</t>
  </si>
  <si>
    <t xml:space="preserve">Profit &amp; Loss </t>
  </si>
  <si>
    <t xml:space="preserve">Opening Balance </t>
  </si>
  <si>
    <t xml:space="preserve">Add: Profit after tax </t>
  </si>
  <si>
    <t xml:space="preserve">                 Total</t>
  </si>
  <si>
    <t>Secured Loan From Bank</t>
  </si>
  <si>
    <t>W. Capital Loan</t>
  </si>
  <si>
    <t xml:space="preserve">Current Liability </t>
  </si>
  <si>
    <t>Total ( A )</t>
  </si>
  <si>
    <t>ASSETS</t>
  </si>
  <si>
    <t>Fixed Assets</t>
  </si>
  <si>
    <t>Gross Block</t>
  </si>
  <si>
    <t>Net Block</t>
  </si>
  <si>
    <t>P&amp;P</t>
  </si>
  <si>
    <t>Current Assets</t>
  </si>
  <si>
    <t>Sundry Debtor</t>
  </si>
  <si>
    <t>Closing Stock FG</t>
  </si>
  <si>
    <t>Closing Stock RM</t>
  </si>
  <si>
    <t>Cash &amp; Bank Balance</t>
  </si>
  <si>
    <t>(Including Cash Credit Limit)</t>
  </si>
  <si>
    <t>Total  ( B )</t>
  </si>
  <si>
    <t>Cash Flow Statement</t>
  </si>
  <si>
    <t>Revenue</t>
  </si>
  <si>
    <t>Total Revenue</t>
  </si>
  <si>
    <t>Term Loan</t>
  </si>
  <si>
    <t>W.Capital loan</t>
  </si>
  <si>
    <t>Grant</t>
  </si>
  <si>
    <t>Increase in Current Liabilities</t>
  </si>
  <si>
    <t>Sub Total (A)</t>
  </si>
  <si>
    <t>Cash Outflow (Rs.)</t>
  </si>
  <si>
    <t>Capital Expenditure</t>
  </si>
  <si>
    <t>a</t>
  </si>
  <si>
    <t>b</t>
  </si>
  <si>
    <t>c</t>
  </si>
  <si>
    <t>Pre-operative exp.</t>
  </si>
  <si>
    <t>Operational Expenditure</t>
  </si>
  <si>
    <t>Fixed Cost (Excl. Of Interest)</t>
  </si>
  <si>
    <t>Variable Cost</t>
  </si>
  <si>
    <t>Loan Repayment</t>
  </si>
  <si>
    <t>Interest: TL</t>
  </si>
  <si>
    <t>Interest WC</t>
  </si>
  <si>
    <t>Increase in Current Assets</t>
  </si>
  <si>
    <t>Tax</t>
  </si>
  <si>
    <t>Differencial tax liabilities</t>
  </si>
  <si>
    <t>Sub Total (B)</t>
  </si>
  <si>
    <t>Net Cash Flow (A-B)</t>
  </si>
  <si>
    <t>Opening Cash and Bank</t>
  </si>
  <si>
    <t>Cumulative Cash Balance</t>
  </si>
  <si>
    <t>Cost of Material Purchased</t>
  </si>
  <si>
    <t>RATIOS</t>
  </si>
  <si>
    <t>Net Profit</t>
  </si>
  <si>
    <t>Dep</t>
  </si>
  <si>
    <t>Amortization</t>
  </si>
  <si>
    <t>Cash Flow</t>
  </si>
  <si>
    <t>D.F @ 10%</t>
  </si>
  <si>
    <t>IRR</t>
  </si>
  <si>
    <t>Contribution</t>
  </si>
  <si>
    <t>Fixed Cost</t>
  </si>
  <si>
    <t>BEP</t>
  </si>
  <si>
    <t>Avg BEP</t>
  </si>
  <si>
    <t>DSCR</t>
  </si>
  <si>
    <t>PROFIT</t>
  </si>
  <si>
    <t>Depreciation</t>
  </si>
  <si>
    <t>INTEREST on TL</t>
  </si>
  <si>
    <t>TOTAL</t>
  </si>
  <si>
    <t>Total Annual EMI</t>
  </si>
  <si>
    <t>AVG DSCR</t>
  </si>
  <si>
    <t>As per WC Assessment</t>
  </si>
  <si>
    <t>PHT Estimate</t>
  </si>
  <si>
    <t>RB Estimate</t>
  </si>
  <si>
    <t>Working Model</t>
  </si>
  <si>
    <t>Job Work Services</t>
  </si>
  <si>
    <t>Capitive Operations</t>
  </si>
  <si>
    <t>Bldg</t>
  </si>
  <si>
    <t>SLM</t>
  </si>
  <si>
    <t>WDV</t>
  </si>
  <si>
    <t>Capacity of Plant</t>
  </si>
  <si>
    <t>JW Services</t>
  </si>
  <si>
    <t xml:space="preserve">Working Days </t>
  </si>
  <si>
    <t>Closing Stock- Raw Material</t>
  </si>
  <si>
    <t>15 days</t>
  </si>
  <si>
    <t>Closing Stock- Finished Goods</t>
  </si>
  <si>
    <t>Purchase Price (in Rs. Per MT)</t>
  </si>
  <si>
    <t xml:space="preserve">Inflation assumed </t>
  </si>
  <si>
    <t>5% p.a.</t>
  </si>
  <si>
    <t>Sales Price (in Rs. Per MT)</t>
  </si>
  <si>
    <t>Loan Interest Rate</t>
  </si>
  <si>
    <t>Term Loan Tenure (inc. Moratorium of 12 months)</t>
  </si>
  <si>
    <t>84 months (7 years)</t>
  </si>
  <si>
    <t>Income Tax calc.</t>
  </si>
  <si>
    <t>Current Liability</t>
  </si>
  <si>
    <t>1 month</t>
  </si>
  <si>
    <t>Sundry Debtors</t>
  </si>
  <si>
    <t>Debtors</t>
  </si>
  <si>
    <t>Stock</t>
  </si>
  <si>
    <t>Creditors</t>
  </si>
  <si>
    <t>PHT Estimate (exc DG Set)</t>
  </si>
  <si>
    <t>Sr.No.</t>
  </si>
  <si>
    <t>ITEM</t>
  </si>
  <si>
    <t>ESTIMATE in Lakh INR</t>
  </si>
  <si>
    <t>CIVIL WORKS</t>
  </si>
  <si>
    <t>Main Building including plinth &amp; PEB</t>
  </si>
  <si>
    <t>Site developing</t>
  </si>
  <si>
    <t>D</t>
  </si>
  <si>
    <t>E</t>
  </si>
  <si>
    <t>F</t>
  </si>
  <si>
    <t xml:space="preserve">Plant and Machinery </t>
  </si>
  <si>
    <t>Misc. Fixed Assets</t>
  </si>
  <si>
    <t>Production Operations (Farm Level: 
1.5 Lakh/ Acre X 2.47 (for per Ha.) X 250 farmers X 60% X 20%)</t>
  </si>
  <si>
    <t>Custom Hiring</t>
  </si>
  <si>
    <t>Qty</t>
  </si>
  <si>
    <t>100% capacity</t>
  </si>
  <si>
    <t>No. of Hours Per day</t>
  </si>
  <si>
    <t>Charges per Acre</t>
  </si>
  <si>
    <t>Unit for charging rent</t>
  </si>
  <si>
    <t>Revenue (Rs. Per lakh)</t>
  </si>
  <si>
    <t>Machine</t>
  </si>
  <si>
    <t>(Acre)</t>
  </si>
  <si>
    <t>C.U.</t>
  </si>
  <si>
    <t>per Acre</t>
  </si>
  <si>
    <t>Tractor-55HP</t>
  </si>
  <si>
    <t>per hour</t>
  </si>
  <si>
    <t>Planter</t>
  </si>
  <si>
    <t>per day</t>
  </si>
  <si>
    <t>Harvester</t>
  </si>
  <si>
    <t>Revenue- Custom Hiring</t>
  </si>
  <si>
    <t>(1+2-3)</t>
  </si>
  <si>
    <t>Total Working Capital Requirement</t>
  </si>
  <si>
    <t>Working Capital Assessment</t>
  </si>
  <si>
    <t>1 Months Exp</t>
  </si>
  <si>
    <t>RM</t>
  </si>
  <si>
    <t>Production Level Support</t>
  </si>
  <si>
    <t>Civil Works and P&amp;M</t>
  </si>
  <si>
    <t>d</t>
  </si>
  <si>
    <t>MFA</t>
  </si>
  <si>
    <t>Salvage Value</t>
  </si>
  <si>
    <t>Disc Cash Flow @ 10% DF</t>
  </si>
  <si>
    <t>Total P.V of Inflows @ 10% DF</t>
  </si>
  <si>
    <t xml:space="preserve">Total P.V of Outflows </t>
  </si>
  <si>
    <t>NPV (@10% DF)</t>
  </si>
  <si>
    <t>Fixed Expenses</t>
  </si>
  <si>
    <t>TL Interest</t>
  </si>
  <si>
    <t>WC Interest</t>
  </si>
  <si>
    <t>P&amp;P exp</t>
  </si>
  <si>
    <t>Project Payback Period</t>
  </si>
  <si>
    <t>ROCE (Avg)</t>
  </si>
  <si>
    <t>Farm Implements Helpers</t>
  </si>
  <si>
    <t>Y0</t>
  </si>
  <si>
    <t>Intt</t>
  </si>
  <si>
    <t>Repayment</t>
  </si>
  <si>
    <t>Closing Bal</t>
  </si>
  <si>
    <t>Less : Depreciation</t>
  </si>
  <si>
    <t>Farm Implements-Custom Hiring</t>
  </si>
  <si>
    <t>P&amp;M and MFA</t>
  </si>
  <si>
    <t>Pomegranates (Discounted Price due to Production Level Support)</t>
  </si>
  <si>
    <t>Mandi Price</t>
  </si>
  <si>
    <t>Production Level Interventions (contract farming Support)</t>
  </si>
  <si>
    <t>Advance to Suppliers</t>
  </si>
  <si>
    <t>Advances to Suppliers</t>
  </si>
  <si>
    <t>RM and Finished Goods Stock</t>
  </si>
  <si>
    <t>Farm Level Support Cost</t>
  </si>
  <si>
    <t xml:space="preserve">Job Work Charges </t>
  </si>
  <si>
    <t>Farm Implement Business (in Rs. Per Acre - Fixed)</t>
  </si>
  <si>
    <t>Discounted RM price (due to farm level interventions) as % of mandi price</t>
  </si>
  <si>
    <t>FI1</t>
  </si>
  <si>
    <t>FI2</t>
  </si>
  <si>
    <t>0 days</t>
  </si>
  <si>
    <t>3 Yrs 9 Mos</t>
  </si>
  <si>
    <t>Products</t>
  </si>
  <si>
    <t>Qty (KG)</t>
  </si>
  <si>
    <t>Remuneration Sharing FPO/VCO - Producer Model (Ideal)</t>
  </si>
  <si>
    <t>Assuming, 60:40 ratio of profit between FPO/VCO (60%) and Producer (40%)</t>
  </si>
  <si>
    <t>Remuneration of FPO/VCO Per MT</t>
  </si>
  <si>
    <t>Remuneration of Producer Per MT</t>
  </si>
  <si>
    <t>Net Profit per MT</t>
  </si>
  <si>
    <t xml:space="preserve">Y1 </t>
  </si>
  <si>
    <t>Pomegranates</t>
  </si>
  <si>
    <t>Pomegranates processed (MT)</t>
  </si>
  <si>
    <t>Yield per acre</t>
  </si>
  <si>
    <t>Total Additional sales realization to farmers over traditional sale (in Rs. Lakh)</t>
  </si>
  <si>
    <t>Total Remuneration to FPO/VCO (in Rs. Lakh)</t>
  </si>
  <si>
    <t>D.F @ 9%</t>
  </si>
  <si>
    <t>Disc Cash Flow @ 9% DF</t>
  </si>
  <si>
    <t xml:space="preserve">PV of Total Benefit to Producers+FPO/VCO (in Rs. Lakh) </t>
  </si>
  <si>
    <t>Project PV of Outflows</t>
  </si>
  <si>
    <t>Economic Rate of Return</t>
  </si>
  <si>
    <t>Profit Share of FPO/VCO Per MT (in Rs.)</t>
  </si>
  <si>
    <t>Total Benefit to Producers+FPO/VCO (in. Rs. Lakh)</t>
  </si>
  <si>
    <t>Additional Remuneration/Net Profit (per MT) over traditional sale to FPO/VCO</t>
  </si>
  <si>
    <t>ENPV (in Rs. Lakh) )</t>
  </si>
  <si>
    <t xml:space="preserve">Acres Influenced - </t>
  </si>
  <si>
    <t>Hectares Influenced</t>
  </si>
  <si>
    <t>Number of Farmers to be benefitted (assuming 1 hectare per farmer)</t>
  </si>
  <si>
    <t>Additional Income to producer Per MT under envisaged model (in Rs.)</t>
  </si>
  <si>
    <t>Taxes</t>
  </si>
  <si>
    <t>Internal Rate of Return</t>
  </si>
  <si>
    <t xml:space="preserve">Particular </t>
  </si>
  <si>
    <t>Y8</t>
  </si>
  <si>
    <t>Y9</t>
  </si>
  <si>
    <t>Y10</t>
  </si>
  <si>
    <t>Profit after Tax &amp; Diivdend</t>
  </si>
  <si>
    <t>Add: Preliminary expense written off</t>
  </si>
  <si>
    <t xml:space="preserve">Net Cash Accrual (A)      </t>
  </si>
  <si>
    <t>Presnt Value of Future Inflows</t>
  </si>
  <si>
    <t>Operating Net Cash Inflow</t>
  </si>
  <si>
    <t>Present Capital Outflow</t>
  </si>
  <si>
    <t>IRR Without Grant</t>
  </si>
  <si>
    <t>IRR With Grant</t>
  </si>
  <si>
    <r>
      <t>Add</t>
    </r>
    <r>
      <rPr>
        <sz val="11"/>
        <color indexed="8"/>
        <rFont val="Garamond"/>
        <family val="1"/>
      </rPr>
      <t>: Deprication</t>
    </r>
  </si>
  <si>
    <t>Net Presnt Value</t>
  </si>
  <si>
    <t>Add: Deprication</t>
  </si>
  <si>
    <t>Add. Preliminary exp Written off</t>
  </si>
  <si>
    <t>PV Factor @ 10 %</t>
  </si>
  <si>
    <t>Disc Cash Flow</t>
  </si>
  <si>
    <t>Total Discounted Cash Flows</t>
  </si>
  <si>
    <t>Present Value of Outflow</t>
  </si>
  <si>
    <t>NPV (with grant)</t>
  </si>
  <si>
    <t>NPV (without grant)</t>
  </si>
  <si>
    <t>Present Value of Outflow (with grant)</t>
  </si>
  <si>
    <t>Return On Investments</t>
  </si>
  <si>
    <t>Average net profit</t>
  </si>
  <si>
    <t>Total Project cost</t>
  </si>
  <si>
    <t>Present Capital Outflow (With Grant)</t>
  </si>
  <si>
    <t>ROCE (without grant)</t>
  </si>
  <si>
    <t>Total Project Cost-Grant</t>
  </si>
  <si>
    <t>ROCE (with grant)</t>
  </si>
  <si>
    <t>Payback Period (without Grant)</t>
  </si>
  <si>
    <t>Payback Period (with Grant)</t>
  </si>
  <si>
    <t>Debt-Equity Ratio</t>
  </si>
  <si>
    <t>Debt</t>
  </si>
  <si>
    <t xml:space="preserve">                   TOTAL     :      Rs.</t>
  </si>
  <si>
    <t>Equity</t>
  </si>
  <si>
    <t xml:space="preserve">          </t>
  </si>
  <si>
    <t>Partner's Capital</t>
  </si>
  <si>
    <t>Reserve &amp; Surplus including Govt Grant</t>
  </si>
  <si>
    <t>Debt Equity (including Govt Grant)</t>
  </si>
  <si>
    <t>Reserve &amp; Surplus excluding Govt Grant</t>
  </si>
  <si>
    <t>Debt Equity (excluding Govt Grant)</t>
  </si>
  <si>
    <t>Profit After tax</t>
  </si>
  <si>
    <t>Add : Depreciation as per books</t>
  </si>
  <si>
    <t>Add: preliminary expense written off</t>
  </si>
  <si>
    <t>Add: Interest on term loan</t>
  </si>
  <si>
    <t>Annual Interest</t>
  </si>
  <si>
    <t xml:space="preserve">Annual EMI </t>
  </si>
  <si>
    <t>ISCR</t>
  </si>
  <si>
    <t>Average DSCR</t>
  </si>
  <si>
    <t>Average ISCR</t>
  </si>
  <si>
    <t xml:space="preserve">DSCR </t>
  </si>
  <si>
    <t>Avg Debt Equity Ratio (with grant)</t>
  </si>
  <si>
    <t>Avg Debt Equity Ratio (without grant)</t>
  </si>
  <si>
    <t>% of Total Cost</t>
  </si>
  <si>
    <t>% of total funding</t>
  </si>
  <si>
    <t>Turnover</t>
  </si>
  <si>
    <t>Cost of Operations</t>
  </si>
  <si>
    <t>Gross Profit</t>
  </si>
  <si>
    <t>Earnings Before Interest, Tax, Depreciation and Amortization (EBITDA)</t>
  </si>
  <si>
    <t>Profit before taxation</t>
  </si>
  <si>
    <t>Profit after taxation</t>
  </si>
  <si>
    <t>Change in Stock</t>
  </si>
  <si>
    <t>M</t>
  </si>
  <si>
    <t>Office table</t>
  </si>
  <si>
    <t>Chairs</t>
  </si>
  <si>
    <t>TOTAL (1+2+3+4+5)</t>
  </si>
  <si>
    <t>PRELIMINARY &amp; PREOPERATIVE EXP</t>
  </si>
  <si>
    <t>Broken</t>
  </si>
  <si>
    <t>SENSITIVITY ANALYSIS</t>
  </si>
  <si>
    <t>Quantity Variation (+10%)</t>
  </si>
  <si>
    <t>Year-1</t>
  </si>
  <si>
    <t>Year-2</t>
  </si>
  <si>
    <t>Year-3</t>
  </si>
  <si>
    <t>Year-4</t>
  </si>
  <si>
    <t>Year-5</t>
  </si>
  <si>
    <t>Total Income</t>
  </si>
  <si>
    <t>Expenditure</t>
  </si>
  <si>
    <t>Fixed Cost (Excl. of Depreciation, Amortization and Interest)</t>
  </si>
  <si>
    <t>Total Operational Expenses</t>
  </si>
  <si>
    <t>Net Income</t>
  </si>
  <si>
    <t>Cost Variation (+10%)</t>
  </si>
  <si>
    <t>Quantity Variation (-10%)</t>
  </si>
  <si>
    <t>Cost Variation (-10%)</t>
  </si>
  <si>
    <t>Year-6</t>
  </si>
  <si>
    <t>Year-7</t>
  </si>
  <si>
    <t>Year-8</t>
  </si>
  <si>
    <t>Year-9</t>
  </si>
  <si>
    <t>Year-10</t>
  </si>
  <si>
    <t>Cost of Material consumed</t>
  </si>
  <si>
    <t>Change in Closing Stock of FG</t>
  </si>
  <si>
    <t>G</t>
  </si>
  <si>
    <t>Flooring and minor fixtures</t>
  </si>
  <si>
    <t>FURNITURE &amp; FIXTURES</t>
  </si>
  <si>
    <t>WCM</t>
  </si>
  <si>
    <t xml:space="preserve">Preliminary &amp; Preoperative Exp </t>
  </si>
  <si>
    <t>P&amp;P Exp W/O</t>
  </si>
  <si>
    <t>Total P&amp;P Exp</t>
  </si>
  <si>
    <t>Ammortization Rate PA</t>
  </si>
  <si>
    <t>Rate (Rs. per MT)</t>
  </si>
  <si>
    <t>with grant</t>
  </si>
  <si>
    <t>without grant</t>
  </si>
  <si>
    <t>W.C Loan (unsecured loan from Directors)</t>
  </si>
  <si>
    <t>none</t>
  </si>
  <si>
    <t>Rent for Land</t>
  </si>
  <si>
    <t>1000 p.m.</t>
  </si>
  <si>
    <t>Members</t>
  </si>
  <si>
    <t>Non-Members</t>
  </si>
  <si>
    <t>Services Users and RM Sellers</t>
  </si>
  <si>
    <t>Income Tax 30%</t>
  </si>
  <si>
    <t>H</t>
  </si>
  <si>
    <t>I</t>
  </si>
  <si>
    <t>J</t>
  </si>
  <si>
    <t>K</t>
  </si>
  <si>
    <t>Packaging , Printing &amp; Weighing Machine</t>
  </si>
  <si>
    <t>Packaging Machine</t>
  </si>
  <si>
    <t>Printing Machine</t>
  </si>
  <si>
    <t>Weighing Machine</t>
  </si>
  <si>
    <t>ELECTRIC FITTING</t>
  </si>
  <si>
    <t>11 KV Line</t>
  </si>
  <si>
    <t>Husk</t>
  </si>
  <si>
    <t>Bran</t>
  </si>
  <si>
    <t>Weigh Bridge Operator</t>
  </si>
  <si>
    <t>Weigh Bridge Revenue Schedule</t>
  </si>
  <si>
    <t>Trucks Weighed per day</t>
  </si>
  <si>
    <t>No. of days of operation</t>
  </si>
  <si>
    <t>Tractors Weighed per day</t>
  </si>
  <si>
    <t xml:space="preserve">Total Revenue </t>
  </si>
  <si>
    <t>Revenue from Weigh Bridge operation</t>
  </si>
  <si>
    <t>Charges per vehicle</t>
  </si>
  <si>
    <t>500/day</t>
  </si>
  <si>
    <t>Net taxable profit</t>
  </si>
  <si>
    <t>5000 p.m.</t>
  </si>
  <si>
    <t>1% of machine cost &amp; civil works</t>
  </si>
  <si>
    <t>Nil</t>
  </si>
  <si>
    <t>Smart Subsidy %</t>
  </si>
  <si>
    <t>Subsidy Amount</t>
  </si>
  <si>
    <t xml:space="preserve"> </t>
  </si>
  <si>
    <t>Civil work for Factory Building</t>
  </si>
  <si>
    <t>White wash and paint to internal / external wall surfaces</t>
  </si>
  <si>
    <t>Destoner</t>
  </si>
  <si>
    <t>L</t>
  </si>
  <si>
    <t>N</t>
  </si>
  <si>
    <t>Rice</t>
  </si>
  <si>
    <t>Loss b/f</t>
  </si>
  <si>
    <t>loss c/f</t>
  </si>
  <si>
    <t>Variety</t>
  </si>
  <si>
    <t>JSR</t>
  </si>
  <si>
    <t>Centrifugal Fan 7.5 HP/8500CMH/100 MM / WG</t>
  </si>
  <si>
    <t>Pnuematic Sheller</t>
  </si>
  <si>
    <t>12.5HP;1000RPM;FT(IE2);SIEM-1LE7</t>
  </si>
  <si>
    <t>Husk Separator</t>
  </si>
  <si>
    <t>5HP 1500 RPM FT MTG IE2-1LE7-HEM</t>
  </si>
  <si>
    <t>Paddy Seperator</t>
  </si>
  <si>
    <t>3HP;960RPM;FT.MTG;Siem IE2-1LE7</t>
  </si>
  <si>
    <t>Rotary Sifter</t>
  </si>
  <si>
    <t>2HP,1500RPM,FL,SIEM IE2-1LE7</t>
  </si>
  <si>
    <t>Rice Whitener</t>
  </si>
  <si>
    <t>30 HP,1500 RPM,FL MTG.,SIEM IE2-1LE7</t>
  </si>
  <si>
    <t>Centrifugal Fan - 10 HP/4200/4200 CMH/300 MM WG/CB 4.2K300H(M)</t>
  </si>
  <si>
    <t>Cyclone Seperator-950-L</t>
  </si>
  <si>
    <t>Bran Discharger</t>
  </si>
  <si>
    <t>Other Charges Related to above machineries</t>
  </si>
  <si>
    <t>DTC- 200 KVA</t>
  </si>
  <si>
    <t>MCC Panel</t>
  </si>
  <si>
    <t>to check extra quute of sheet and pipe</t>
  </si>
  <si>
    <t>10 lakh</t>
  </si>
  <si>
    <t>and additional pre cleaner, elevator and bran filter</t>
  </si>
  <si>
    <t>quotation not found</t>
  </si>
  <si>
    <t>A1</t>
  </si>
  <si>
    <t xml:space="preserve">Building and Construction </t>
  </si>
  <si>
    <t>Technical Civil Works (2000MT Godown)</t>
  </si>
  <si>
    <t>1143.00 SQM</t>
  </si>
  <si>
    <t>0.1176/ SQM</t>
  </si>
  <si>
    <t>Inc.</t>
  </si>
  <si>
    <t>A2</t>
  </si>
  <si>
    <t>Machinery and equipment</t>
  </si>
  <si>
    <t>PRE CLEANER</t>
  </si>
  <si>
    <t>7” GEARED ELEVATOR</t>
  </si>
  <si>
    <t>BRAN FILLTER</t>
  </si>
  <si>
    <t>Weigh Bridge</t>
  </si>
  <si>
    <t>H.R.Sheet, Pipes and M.S. Angle/Channel/Beam</t>
  </si>
  <si>
    <t>-</t>
  </si>
  <si>
    <t>A3</t>
  </si>
  <si>
    <t>Furniture &amp; Fixtures</t>
  </si>
  <si>
    <t>Office Table and Chairs, and misc. furniture</t>
  </si>
  <si>
    <t>LS</t>
  </si>
  <si>
    <t>1 Set</t>
  </si>
  <si>
    <t>(LS)</t>
  </si>
  <si>
    <t>A4</t>
  </si>
  <si>
    <t>Electrical Fittings</t>
  </si>
  <si>
    <t>For 100KVA</t>
  </si>
  <si>
    <t>A5</t>
  </si>
  <si>
    <t>Preliminary &amp; Pre-operative Exp.</t>
  </si>
  <si>
    <t>A6</t>
  </si>
  <si>
    <t>Total (A)</t>
  </si>
  <si>
    <t>H.R.Sheet, Pipes and M.S. Angle/Channel/Beam for machinery</t>
  </si>
  <si>
    <t>Value of Opening Stock</t>
  </si>
  <si>
    <t>Value of Closing stock</t>
  </si>
  <si>
    <t>Finished Goods (MT)- IR 1010</t>
  </si>
  <si>
    <t>IR 1010</t>
  </si>
  <si>
    <t>JAI SHRI RAM</t>
  </si>
  <si>
    <t>e</t>
  </si>
  <si>
    <t>400/ton</t>
  </si>
  <si>
    <t>Grade Output -IR 1010</t>
  </si>
  <si>
    <t>Grade Output -Jai Shri Ram Variety</t>
  </si>
  <si>
    <t>Jai Shri Ram</t>
  </si>
  <si>
    <t>Dall Mill (0.5 TPH)</t>
  </si>
  <si>
    <t>Grader (Chalna). *4 Sheet</t>
  </si>
  <si>
    <t>Grader (Chalna). *3 Sheet</t>
  </si>
  <si>
    <t>Bucket Elevators  , height 18’</t>
  </si>
  <si>
    <t>Bucket Elevators  , height 14’</t>
  </si>
  <si>
    <t>Roll petty</t>
  </si>
  <si>
    <t>Fan and Cyclone with Pipe Line</t>
  </si>
  <si>
    <t>M/s Warm</t>
  </si>
  <si>
    <t>Machinery Structure, Motor, Pipe, Counter Shafting, Pulley, Belt.</t>
  </si>
  <si>
    <t>Stock Hopper</t>
  </si>
  <si>
    <t>Dryer with Trolley 1 ton capacity</t>
  </si>
  <si>
    <t>Dryer Stock Hopper</t>
  </si>
  <si>
    <t>Buff Polisher</t>
  </si>
  <si>
    <t xml:space="preserve">Machinery Fitting &amp; Transportation Charges </t>
  </si>
  <si>
    <t>IT INFRASTRUCTURE</t>
  </si>
  <si>
    <t>Desktop &amp; Printer</t>
  </si>
  <si>
    <t>Dall Mill</t>
  </si>
  <si>
    <t>Total Input (Tur) (MT)</t>
  </si>
  <si>
    <t>Total Input (Tur/Chana) (MT)</t>
  </si>
  <si>
    <t>Captive Operations Grade Output (Tur)(MT)</t>
  </si>
  <si>
    <t>Tur Dall</t>
  </si>
  <si>
    <t>Waste</t>
  </si>
  <si>
    <t>Captive Operations Grade Output (Chana)(MT)</t>
  </si>
  <si>
    <t>Chana Dall</t>
  </si>
  <si>
    <t>Pulses processed per day (MT)</t>
  </si>
  <si>
    <t>Total Input (Chana) (MT)</t>
  </si>
  <si>
    <t>Tur</t>
  </si>
  <si>
    <t>Chana</t>
  </si>
  <si>
    <t>Finished Goods (MT)- Chana</t>
  </si>
  <si>
    <t>51 KVA (Power chart)</t>
  </si>
  <si>
    <t>56 KVA (Power chart)</t>
  </si>
  <si>
    <t>0.5 TPH</t>
  </si>
  <si>
    <t>Bhusa</t>
  </si>
  <si>
    <t>Powder</t>
  </si>
  <si>
    <t>Cattle Feed</t>
  </si>
  <si>
    <t>Chuni</t>
  </si>
  <si>
    <t>Revenue- Service Charges - Dal Milling</t>
  </si>
  <si>
    <t>50% reserved for JW Services</t>
  </si>
  <si>
    <t>50% reserved for Captive operations</t>
  </si>
  <si>
    <t>50% capacity reserved</t>
  </si>
  <si>
    <t>Dal Milling (in Rs. Per MT)</t>
  </si>
  <si>
    <t xml:space="preserve">10000 p.a. </t>
  </si>
  <si>
    <t>Production- Tur (MT)</t>
  </si>
  <si>
    <t>Total Production (Tur)</t>
  </si>
  <si>
    <t>Marketable Surplus - Tur (70%)</t>
  </si>
  <si>
    <t>Marketable Surplus - Chana (60%)</t>
  </si>
  <si>
    <t>Production- Chana (MT)</t>
  </si>
  <si>
    <t>Total Production (Chana)</t>
  </si>
  <si>
    <t>Tur Requirement of Project (MT)</t>
  </si>
  <si>
    <t>Chana Requirement of Project (MT)</t>
  </si>
  <si>
    <t>Present Value Equivalent @ 40.96%</t>
  </si>
  <si>
    <t>4 Years 5 months</t>
  </si>
  <si>
    <t>7 Yrs 4 month</t>
  </si>
  <si>
    <t>Present Value Equivalent @ 14.83%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</si>
</sst>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 * #,##0_ ;_ * \-#,##0_ ;_ * &quot;-&quot;??_ ;_ @_ "/>
    <numFmt numFmtId="168" formatCode="0.00000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color theme="0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7030A0"/>
      <name val="Garamond"/>
      <family val="1"/>
    </font>
    <font>
      <b/>
      <i/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0"/>
      <color rgb="FF7030A0"/>
      <name val="Garamond"/>
      <family val="1"/>
    </font>
    <font>
      <sz val="10"/>
      <color theme="1"/>
      <name val="Garamond"/>
      <family val="1"/>
    </font>
    <font>
      <b/>
      <i/>
      <sz val="11"/>
      <name val="Garamond"/>
      <family val="1"/>
    </font>
    <font>
      <u/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sz val="11"/>
      <color rgb="FFFFFFFF"/>
      <name val="Garamond"/>
      <family val="1"/>
    </font>
    <font>
      <sz val="11"/>
      <color rgb="FF000000"/>
      <name val="Garamond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 tint="4.9989318521683403E-2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1" applyFont="1" applyBorder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0" fontId="7" fillId="0" borderId="0" xfId="0" applyFont="1" applyBorder="1"/>
    <xf numFmtId="2" fontId="2" fillId="0" borderId="0" xfId="0" applyNumberFormat="1" applyFont="1"/>
    <xf numFmtId="0" fontId="7" fillId="0" borderId="0" xfId="0" applyFont="1"/>
    <xf numFmtId="0" fontId="8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/>
    <xf numFmtId="2" fontId="2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Fill="1" applyBorder="1"/>
    <xf numFmtId="2" fontId="3" fillId="0" borderId="1" xfId="0" applyNumberFormat="1" applyFont="1" applyBorder="1"/>
    <xf numFmtId="0" fontId="2" fillId="0" borderId="0" xfId="0" applyFont="1" applyBorder="1"/>
    <xf numFmtId="164" fontId="0" fillId="0" borderId="0" xfId="0" applyNumberFormat="1"/>
    <xf numFmtId="164" fontId="2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/>
    <xf numFmtId="164" fontId="3" fillId="0" borderId="1" xfId="1" applyFont="1" applyBorder="1"/>
    <xf numFmtId="0" fontId="4" fillId="0" borderId="1" xfId="0" applyFont="1" applyBorder="1"/>
    <xf numFmtId="1" fontId="4" fillId="0" borderId="1" xfId="0" applyNumberFormat="1" applyFont="1" applyBorder="1"/>
    <xf numFmtId="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164" fontId="9" fillId="0" borderId="1" xfId="1" applyFont="1" applyBorder="1"/>
    <xf numFmtId="164" fontId="4" fillId="0" borderId="1" xfId="1" applyFont="1" applyBorder="1"/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/>
    <xf numFmtId="164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4" fontId="13" fillId="0" borderId="1" xfId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164" fontId="14" fillId="0" borderId="1" xfId="1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164" fontId="1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12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164" fontId="13" fillId="0" borderId="0" xfId="1" applyFont="1" applyAlignment="1">
      <alignment wrapText="1"/>
    </xf>
    <xf numFmtId="164" fontId="15" fillId="0" borderId="1" xfId="0" applyNumberFormat="1" applyFont="1" applyBorder="1" applyAlignment="1">
      <alignment wrapText="1"/>
    </xf>
    <xf numFmtId="164" fontId="13" fillId="0" borderId="0" xfId="0" applyNumberFormat="1" applyFont="1" applyAlignment="1">
      <alignment wrapText="1"/>
    </xf>
    <xf numFmtId="164" fontId="15" fillId="0" borderId="1" xfId="1" applyFont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1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wrapText="1"/>
    </xf>
    <xf numFmtId="4" fontId="4" fillId="0" borderId="1" xfId="0" applyNumberFormat="1" applyFont="1" applyBorder="1"/>
    <xf numFmtId="164" fontId="4" fillId="0" borderId="1" xfId="0" applyNumberFormat="1" applyFont="1" applyBorder="1"/>
    <xf numFmtId="0" fontId="5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7" fillId="0" borderId="1" xfId="0" applyFont="1" applyFill="1" applyBorder="1"/>
    <xf numFmtId="4" fontId="4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10" fontId="2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164" fontId="4" fillId="0" borderId="1" xfId="1" applyFont="1" applyFill="1" applyBorder="1"/>
    <xf numFmtId="164" fontId="9" fillId="0" borderId="1" xfId="1" applyFont="1" applyFill="1" applyBorder="1"/>
    <xf numFmtId="0" fontId="18" fillId="0" borderId="1" xfId="0" applyFont="1" applyFill="1" applyBorder="1"/>
    <xf numFmtId="164" fontId="9" fillId="0" borderId="1" xfId="1" applyFont="1" applyFill="1" applyBorder="1" applyAlignment="1">
      <alignment horizontal="right" vertical="top"/>
    </xf>
    <xf numFmtId="2" fontId="4" fillId="0" borderId="1" xfId="0" applyNumberFormat="1" applyFont="1" applyFill="1" applyBorder="1"/>
    <xf numFmtId="43" fontId="4" fillId="0" borderId="0" xfId="0" applyNumberFormat="1" applyFont="1" applyFill="1"/>
    <xf numFmtId="2" fontId="4" fillId="0" borderId="0" xfId="0" applyNumberFormat="1" applyFont="1" applyFill="1"/>
    <xf numFmtId="43" fontId="4" fillId="0" borderId="1" xfId="0" applyNumberFormat="1" applyFont="1" applyFill="1" applyBorder="1"/>
    <xf numFmtId="164" fontId="9" fillId="0" borderId="0" xfId="1" applyFont="1" applyFill="1" applyBorder="1"/>
    <xf numFmtId="164" fontId="4" fillId="0" borderId="0" xfId="0" applyNumberFormat="1" applyFont="1" applyFill="1"/>
    <xf numFmtId="164" fontId="4" fillId="0" borderId="0" xfId="1" applyFont="1" applyFill="1"/>
    <xf numFmtId="4" fontId="4" fillId="0" borderId="0" xfId="0" applyNumberFormat="1" applyFont="1" applyFill="1"/>
    <xf numFmtId="0" fontId="5" fillId="2" borderId="0" xfId="0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2" fontId="8" fillId="2" borderId="1" xfId="0" applyNumberFormat="1" applyFont="1" applyFill="1" applyBorder="1"/>
    <xf numFmtId="0" fontId="4" fillId="0" borderId="0" xfId="0" applyFont="1"/>
    <xf numFmtId="0" fontId="19" fillId="0" borderId="1" xfId="0" applyFont="1" applyFill="1" applyBorder="1" applyAlignment="1">
      <alignment wrapText="1"/>
    </xf>
    <xf numFmtId="165" fontId="20" fillId="0" borderId="1" xfId="1" applyNumberFormat="1" applyFont="1" applyFill="1" applyBorder="1" applyAlignment="1">
      <alignment wrapText="1"/>
    </xf>
    <xf numFmtId="164" fontId="20" fillId="0" borderId="1" xfId="1" applyFont="1" applyFill="1" applyBorder="1" applyAlignment="1">
      <alignment horizontal="right" wrapText="1"/>
    </xf>
    <xf numFmtId="164" fontId="20" fillId="0" borderId="1" xfId="1" applyFont="1" applyFill="1" applyBorder="1" applyAlignment="1">
      <alignment wrapText="1"/>
    </xf>
    <xf numFmtId="164" fontId="19" fillId="0" borderId="1" xfId="1" applyFont="1" applyFill="1" applyBorder="1" applyAlignment="1">
      <alignment horizontal="right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164" fontId="19" fillId="0" borderId="1" xfId="1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0" fontId="8" fillId="2" borderId="1" xfId="0" applyFont="1" applyFill="1" applyBorder="1" applyAlignment="1">
      <alignment wrapText="1"/>
    </xf>
    <xf numFmtId="0" fontId="9" fillId="0" borderId="0" xfId="0" applyFont="1"/>
    <xf numFmtId="10" fontId="4" fillId="0" borderId="0" xfId="0" applyNumberFormat="1" applyFont="1"/>
    <xf numFmtId="0" fontId="5" fillId="0" borderId="0" xfId="0" applyFont="1"/>
    <xf numFmtId="0" fontId="8" fillId="2" borderId="0" xfId="0" applyFont="1" applyFill="1" applyAlignment="1">
      <alignment horizontal="center"/>
    </xf>
    <xf numFmtId="9" fontId="4" fillId="0" borderId="1" xfId="2" applyFont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164" fontId="2" fillId="0" borderId="0" xfId="1" applyFont="1" applyBorder="1"/>
    <xf numFmtId="164" fontId="3" fillId="0" borderId="0" xfId="0" applyNumberFormat="1" applyFont="1" applyBorder="1"/>
    <xf numFmtId="0" fontId="4" fillId="0" borderId="0" xfId="0" applyFont="1" applyBorder="1"/>
    <xf numFmtId="0" fontId="8" fillId="2" borderId="0" xfId="0" applyFont="1" applyFill="1" applyBorder="1" applyAlignment="1">
      <alignment horizontal="center"/>
    </xf>
    <xf numFmtId="9" fontId="9" fillId="0" borderId="0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right"/>
    </xf>
    <xf numFmtId="0" fontId="5" fillId="0" borderId="0" xfId="0" applyFont="1" applyFill="1" applyBorder="1"/>
    <xf numFmtId="0" fontId="9" fillId="5" borderId="1" xfId="0" applyFont="1" applyFill="1" applyBorder="1"/>
    <xf numFmtId="10" fontId="9" fillId="5" borderId="1" xfId="2" applyNumberFormat="1" applyFont="1" applyFill="1" applyBorder="1"/>
    <xf numFmtId="0" fontId="9" fillId="5" borderId="0" xfId="0" applyFont="1" applyFill="1"/>
    <xf numFmtId="10" fontId="9" fillId="5" borderId="0" xfId="2" applyNumberFormat="1" applyFont="1" applyFill="1"/>
    <xf numFmtId="10" fontId="9" fillId="5" borderId="0" xfId="0" applyNumberFormat="1" applyFont="1" applyFill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6" fontId="2" fillId="0" borderId="0" xfId="2" applyNumberFormat="1" applyFont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9" fillId="7" borderId="0" xfId="0" applyFont="1" applyFill="1"/>
    <xf numFmtId="164" fontId="9" fillId="7" borderId="0" xfId="1" applyFont="1" applyFill="1"/>
    <xf numFmtId="2" fontId="9" fillId="0" borderId="1" xfId="0" applyNumberFormat="1" applyFont="1" applyFill="1" applyBorder="1"/>
    <xf numFmtId="2" fontId="19" fillId="0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wrapText="1"/>
    </xf>
    <xf numFmtId="39" fontId="20" fillId="0" borderId="1" xfId="1" applyNumberFormat="1" applyFont="1" applyFill="1" applyBorder="1" applyAlignment="1">
      <alignment wrapText="1"/>
    </xf>
    <xf numFmtId="164" fontId="17" fillId="0" borderId="1" xfId="1" applyFont="1" applyFill="1" applyBorder="1"/>
    <xf numFmtId="2" fontId="4" fillId="0" borderId="1" xfId="0" applyNumberFormat="1" applyFont="1" applyFill="1" applyBorder="1" applyAlignment="1">
      <alignment horizontal="right"/>
    </xf>
    <xf numFmtId="164" fontId="4" fillId="0" borderId="1" xfId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164" fontId="3" fillId="8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/>
    <xf numFmtId="164" fontId="2" fillId="5" borderId="1" xfId="0" applyNumberFormat="1" applyFont="1" applyFill="1" applyBorder="1"/>
    <xf numFmtId="164" fontId="3" fillId="5" borderId="1" xfId="1" applyFont="1" applyFill="1" applyBorder="1"/>
    <xf numFmtId="0" fontId="3" fillId="9" borderId="1" xfId="0" applyFont="1" applyFill="1" applyBorder="1" applyAlignment="1">
      <alignment horizontal="left" wrapText="1"/>
    </xf>
    <xf numFmtId="164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0" fontId="3" fillId="5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0" borderId="1" xfId="0" applyFont="1" applyBorder="1"/>
    <xf numFmtId="4" fontId="20" fillId="0" borderId="1" xfId="0" applyNumberFormat="1" applyFont="1" applyBorder="1"/>
    <xf numFmtId="0" fontId="19" fillId="0" borderId="1" xfId="0" applyFont="1" applyBorder="1"/>
    <xf numFmtId="2" fontId="20" fillId="0" borderId="1" xfId="0" applyNumberFormat="1" applyFont="1" applyBorder="1"/>
    <xf numFmtId="0" fontId="20" fillId="0" borderId="1" xfId="0" quotePrefix="1" applyFont="1" applyBorder="1" applyAlignment="1">
      <alignment horizontal="left"/>
    </xf>
    <xf numFmtId="4" fontId="2" fillId="0" borderId="1" xfId="0" applyNumberFormat="1" applyFont="1" applyBorder="1"/>
    <xf numFmtId="2" fontId="0" fillId="0" borderId="0" xfId="0" applyNumberFormat="1"/>
    <xf numFmtId="0" fontId="20" fillId="0" borderId="1" xfId="0" applyFont="1" applyBorder="1" applyAlignment="1">
      <alignment horizontal="center"/>
    </xf>
    <xf numFmtId="2" fontId="3" fillId="0" borderId="0" xfId="0" applyNumberFormat="1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right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1" xfId="0" applyFill="1" applyBorder="1"/>
    <xf numFmtId="9" fontId="2" fillId="0" borderId="1" xfId="0" applyNumberFormat="1" applyFont="1" applyBorder="1"/>
    <xf numFmtId="0" fontId="19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center"/>
    </xf>
    <xf numFmtId="0" fontId="22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2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5" fillId="11" borderId="1" xfId="0" applyFont="1" applyFill="1" applyBorder="1"/>
    <xf numFmtId="0" fontId="25" fillId="0" borderId="1" xfId="0" applyFont="1" applyBorder="1"/>
    <xf numFmtId="167" fontId="25" fillId="0" borderId="1" xfId="1" applyNumberFormat="1" applyFont="1" applyBorder="1"/>
    <xf numFmtId="167" fontId="25" fillId="11" borderId="1" xfId="1" applyNumberFormat="1" applyFont="1" applyFill="1" applyBorder="1"/>
    <xf numFmtId="0" fontId="26" fillId="11" borderId="1" xfId="0" applyFont="1" applyFill="1" applyBorder="1"/>
    <xf numFmtId="167" fontId="26" fillId="11" borderId="1" xfId="1" applyNumberFormat="1" applyFont="1" applyFill="1" applyBorder="1"/>
    <xf numFmtId="0" fontId="25" fillId="0" borderId="0" xfId="0" applyFont="1"/>
    <xf numFmtId="167" fontId="25" fillId="0" borderId="0" xfId="1" applyNumberFormat="1" applyFont="1"/>
    <xf numFmtId="0" fontId="25" fillId="0" borderId="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0" fontId="2" fillId="0" borderId="0" xfId="2" applyNumberFormat="1" applyFont="1"/>
    <xf numFmtId="10" fontId="4" fillId="0" borderId="0" xfId="0" applyNumberFormat="1" applyFont="1" applyBorder="1"/>
    <xf numFmtId="1" fontId="25" fillId="0" borderId="1" xfId="0" applyNumberFormat="1" applyFont="1" applyBorder="1"/>
    <xf numFmtId="0" fontId="4" fillId="0" borderId="1" xfId="0" applyFont="1" applyBorder="1" applyAlignment="1">
      <alignment wrapText="1"/>
    </xf>
    <xf numFmtId="0" fontId="27" fillId="0" borderId="0" xfId="0" applyFont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2" fillId="0" borderId="3" xfId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right" vertical="center"/>
    </xf>
    <xf numFmtId="0" fontId="27" fillId="0" borderId="1" xfId="0" applyFont="1" applyBorder="1"/>
    <xf numFmtId="164" fontId="27" fillId="0" borderId="1" xfId="0" applyNumberFormat="1" applyFont="1" applyBorder="1"/>
    <xf numFmtId="9" fontId="13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right"/>
    </xf>
    <xf numFmtId="2" fontId="3" fillId="5" borderId="1" xfId="0" applyNumberFormat="1" applyFont="1" applyFill="1" applyBorder="1"/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wrapText="1"/>
    </xf>
    <xf numFmtId="165" fontId="2" fillId="0" borderId="1" xfId="1" applyNumberFormat="1" applyFont="1" applyFill="1" applyBorder="1"/>
    <xf numFmtId="165" fontId="2" fillId="0" borderId="1" xfId="1" applyNumberFormat="1" applyFont="1" applyBorder="1"/>
    <xf numFmtId="164" fontId="13" fillId="0" borderId="1" xfId="1" applyFont="1" applyFill="1" applyBorder="1" applyAlignment="1">
      <alignment wrapText="1"/>
    </xf>
    <xf numFmtId="164" fontId="2" fillId="0" borderId="3" xfId="1" applyFont="1" applyBorder="1" applyAlignment="1">
      <alignment horizontal="center" vertical="center"/>
    </xf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8" fillId="0" borderId="19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2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right" vertical="center" wrapText="1"/>
    </xf>
    <xf numFmtId="164" fontId="2" fillId="0" borderId="17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3" fillId="0" borderId="1" xfId="0" applyNumberFormat="1" applyFont="1" applyBorder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2" fillId="0" borderId="0" xfId="0" applyFont="1" applyFill="1"/>
    <xf numFmtId="0" fontId="33" fillId="0" borderId="1" xfId="0" applyFont="1" applyFill="1" applyBorder="1"/>
    <xf numFmtId="164" fontId="2" fillId="0" borderId="17" xfId="1" applyFont="1" applyBorder="1" applyAlignment="1">
      <alignment vertical="center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/>
    <xf numFmtId="168" fontId="2" fillId="0" borderId="0" xfId="0" applyNumberFormat="1" applyFont="1"/>
    <xf numFmtId="43" fontId="13" fillId="0" borderId="1" xfId="0" applyNumberFormat="1" applyFont="1" applyBorder="1" applyAlignment="1">
      <alignment wrapText="1"/>
    </xf>
    <xf numFmtId="0" fontId="0" fillId="0" borderId="6" xfId="0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43" fontId="2" fillId="0" borderId="1" xfId="0" applyNumberFormat="1" applyFont="1" applyBorder="1"/>
    <xf numFmtId="0" fontId="29" fillId="0" borderId="23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3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2" fontId="19" fillId="5" borderId="8" xfId="0" applyNumberFormat="1" applyFont="1" applyFill="1" applyBorder="1" applyAlignment="1">
      <alignment horizontal="center"/>
    </xf>
    <xf numFmtId="2" fontId="19" fillId="5" borderId="9" xfId="0" applyNumberFormat="1" applyFont="1" applyFill="1" applyBorder="1" applyAlignment="1">
      <alignment horizontal="center"/>
    </xf>
    <xf numFmtId="2" fontId="19" fillId="5" borderId="2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4" fillId="11" borderId="16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92"/>
  <sheetViews>
    <sheetView tabSelected="1" view="pageBreakPreview" topLeftCell="A4" zoomScale="60" zoomScaleNormal="100" workbookViewId="0">
      <selection activeCell="C13" sqref="C13"/>
    </sheetView>
  </sheetViews>
  <sheetFormatPr defaultColWidth="9.140625" defaultRowHeight="15" x14ac:dyDescent="0.25"/>
  <cols>
    <col min="1" max="1" width="9.140625" style="1"/>
    <col min="2" max="2" width="73.7109375" style="1" customWidth="1"/>
    <col min="3" max="3" width="12.85546875" style="1" bestFit="1" customWidth="1"/>
    <col min="4" max="4" width="9.140625" style="1"/>
    <col min="5" max="5" width="19.7109375" style="1" bestFit="1" customWidth="1"/>
    <col min="6" max="7" width="9.140625" style="1"/>
    <col min="8" max="8" width="39.85546875" style="1" customWidth="1"/>
    <col min="9" max="14" width="9.140625" style="1"/>
    <col min="15" max="15" width="9.140625" style="1" customWidth="1"/>
    <col min="16" max="16384" width="9.140625" style="1"/>
  </cols>
  <sheetData>
    <row r="5" spans="1:12" ht="30" x14ac:dyDescent="0.25">
      <c r="A5" s="141" t="s">
        <v>395</v>
      </c>
      <c r="B5" s="141" t="s">
        <v>396</v>
      </c>
      <c r="C5" s="142" t="s">
        <v>397</v>
      </c>
      <c r="K5" s="1">
        <v>26</v>
      </c>
    </row>
    <row r="6" spans="1:12" x14ac:dyDescent="0.25">
      <c r="A6" s="141">
        <v>1</v>
      </c>
      <c r="B6" s="143" t="s">
        <v>398</v>
      </c>
      <c r="C6" s="263">
        <v>43.32</v>
      </c>
      <c r="D6" s="1">
        <f>+C6*0.6</f>
        <v>25.992000000000001</v>
      </c>
      <c r="K6" s="1">
        <v>31.85</v>
      </c>
    </row>
    <row r="7" spans="1:12" x14ac:dyDescent="0.25">
      <c r="A7" s="144"/>
      <c r="B7" s="145" t="s">
        <v>632</v>
      </c>
      <c r="C7" s="342"/>
      <c r="D7" s="25"/>
      <c r="K7" s="1">
        <v>0.18</v>
      </c>
    </row>
    <row r="8" spans="1:12" x14ac:dyDescent="0.25">
      <c r="A8" s="144" t="s">
        <v>77</v>
      </c>
      <c r="B8" s="146" t="s">
        <v>399</v>
      </c>
      <c r="C8" s="343"/>
      <c r="K8" s="1">
        <v>3</v>
      </c>
    </row>
    <row r="9" spans="1:12" x14ac:dyDescent="0.25">
      <c r="A9" s="144" t="s">
        <v>82</v>
      </c>
      <c r="B9" s="146" t="s">
        <v>400</v>
      </c>
      <c r="C9" s="343"/>
      <c r="D9" s="1" t="s">
        <v>659</v>
      </c>
      <c r="I9" s="1" t="s">
        <v>660</v>
      </c>
    </row>
    <row r="10" spans="1:12" x14ac:dyDescent="0.25">
      <c r="A10" s="252" t="s">
        <v>83</v>
      </c>
      <c r="B10" s="146" t="s">
        <v>586</v>
      </c>
      <c r="C10" s="343"/>
      <c r="D10" s="1" t="s">
        <v>661</v>
      </c>
      <c r="I10" s="1">
        <f>5.25+10.5+1.26</f>
        <v>17.010000000000002</v>
      </c>
      <c r="J10" s="1" t="s">
        <v>662</v>
      </c>
    </row>
    <row r="11" spans="1:12" x14ac:dyDescent="0.25">
      <c r="A11" s="144" t="s">
        <v>401</v>
      </c>
      <c r="B11" s="146" t="s">
        <v>633</v>
      </c>
      <c r="C11" s="343"/>
    </row>
    <row r="12" spans="1:12" x14ac:dyDescent="0.25">
      <c r="A12" s="318" t="s">
        <v>402</v>
      </c>
      <c r="B12" s="146" t="s">
        <v>690</v>
      </c>
      <c r="C12" s="344"/>
    </row>
    <row r="13" spans="1:12" x14ac:dyDescent="0.25">
      <c r="A13" s="273">
        <v>2</v>
      </c>
      <c r="B13" s="143" t="s">
        <v>701</v>
      </c>
      <c r="C13" s="263">
        <f>SUM(C14:C27)</f>
        <v>52.589999999999989</v>
      </c>
      <c r="L13" s="38"/>
    </row>
    <row r="14" spans="1:12" x14ac:dyDescent="0.25">
      <c r="A14" s="252" t="s">
        <v>77</v>
      </c>
      <c r="B14" s="146" t="s">
        <v>702</v>
      </c>
      <c r="C14" s="325">
        <v>2.14</v>
      </c>
      <c r="L14" s="38"/>
    </row>
    <row r="15" spans="1:12" x14ac:dyDescent="0.25">
      <c r="A15" s="252" t="s">
        <v>82</v>
      </c>
      <c r="B15" s="146" t="s">
        <v>703</v>
      </c>
      <c r="C15" s="325">
        <v>3.41</v>
      </c>
      <c r="L15" s="38"/>
    </row>
    <row r="16" spans="1:12" x14ac:dyDescent="0.25">
      <c r="A16" s="252" t="s">
        <v>83</v>
      </c>
      <c r="B16" s="146" t="s">
        <v>704</v>
      </c>
      <c r="C16" s="325">
        <v>2.85</v>
      </c>
    </row>
    <row r="17" spans="1:3" x14ac:dyDescent="0.25">
      <c r="A17" s="252" t="s">
        <v>401</v>
      </c>
      <c r="B17" s="146" t="s">
        <v>705</v>
      </c>
      <c r="C17" s="325">
        <v>4.97</v>
      </c>
    </row>
    <row r="18" spans="1:3" x14ac:dyDescent="0.25">
      <c r="A18" s="252" t="s">
        <v>402</v>
      </c>
      <c r="B18" s="146" t="s">
        <v>706</v>
      </c>
      <c r="C18" s="325">
        <v>3.21</v>
      </c>
    </row>
    <row r="19" spans="1:3" x14ac:dyDescent="0.25">
      <c r="A19" s="252" t="s">
        <v>403</v>
      </c>
      <c r="B19" s="146" t="s">
        <v>707</v>
      </c>
      <c r="C19" s="325">
        <v>1.97</v>
      </c>
    </row>
    <row r="20" spans="1:3" x14ac:dyDescent="0.25">
      <c r="A20" s="252" t="s">
        <v>585</v>
      </c>
      <c r="B20" s="146" t="s">
        <v>708</v>
      </c>
      <c r="C20" s="325">
        <v>2</v>
      </c>
    </row>
    <row r="21" spans="1:3" x14ac:dyDescent="0.25">
      <c r="A21" s="252" t="s">
        <v>604</v>
      </c>
      <c r="B21" s="146" t="s">
        <v>709</v>
      </c>
      <c r="C21" s="325">
        <v>4.8499999999999996</v>
      </c>
    </row>
    <row r="22" spans="1:3" x14ac:dyDescent="0.25">
      <c r="A22" s="252" t="s">
        <v>605</v>
      </c>
      <c r="B22" s="146" t="s">
        <v>710</v>
      </c>
      <c r="C22" s="325">
        <v>9.4499999999999993</v>
      </c>
    </row>
    <row r="23" spans="1:3" x14ac:dyDescent="0.25">
      <c r="A23" s="252" t="s">
        <v>606</v>
      </c>
      <c r="B23" s="146" t="s">
        <v>711</v>
      </c>
      <c r="C23" s="325">
        <v>5.92</v>
      </c>
    </row>
    <row r="24" spans="1:3" x14ac:dyDescent="0.25">
      <c r="A24" s="252" t="s">
        <v>607</v>
      </c>
      <c r="B24" s="146" t="s">
        <v>712</v>
      </c>
      <c r="C24" s="325">
        <v>4.16</v>
      </c>
    </row>
    <row r="25" spans="1:3" x14ac:dyDescent="0.25">
      <c r="A25" s="252" t="s">
        <v>635</v>
      </c>
      <c r="B25" s="146" t="s">
        <v>713</v>
      </c>
      <c r="C25" s="325">
        <v>1.58</v>
      </c>
    </row>
    <row r="26" spans="1:3" x14ac:dyDescent="0.25">
      <c r="A26" s="252" t="s">
        <v>557</v>
      </c>
      <c r="B26" s="146" t="s">
        <v>709</v>
      </c>
      <c r="C26" s="325">
        <v>2.33</v>
      </c>
    </row>
    <row r="27" spans="1:3" x14ac:dyDescent="0.25">
      <c r="A27" s="252" t="s">
        <v>636</v>
      </c>
      <c r="B27" s="146" t="s">
        <v>714</v>
      </c>
      <c r="C27" s="325">
        <v>3.75</v>
      </c>
    </row>
    <row r="28" spans="1:3" x14ac:dyDescent="0.25">
      <c r="A28" s="252"/>
      <c r="B28" s="146"/>
      <c r="C28" s="325"/>
    </row>
    <row r="29" spans="1:3" x14ac:dyDescent="0.25">
      <c r="A29" s="141">
        <v>3</v>
      </c>
      <c r="B29" s="277" t="s">
        <v>715</v>
      </c>
      <c r="C29" s="278">
        <v>0</v>
      </c>
    </row>
    <row r="30" spans="1:3" x14ac:dyDescent="0.25">
      <c r="A30" s="274" t="s">
        <v>77</v>
      </c>
      <c r="B30" s="272" t="s">
        <v>716</v>
      </c>
      <c r="C30" s="276">
        <v>0</v>
      </c>
    </row>
    <row r="31" spans="1:3" ht="15" hidden="1" customHeight="1" x14ac:dyDescent="0.25">
      <c r="A31" s="141">
        <v>4</v>
      </c>
      <c r="B31" s="279" t="s">
        <v>608</v>
      </c>
      <c r="C31" s="278">
        <v>0</v>
      </c>
    </row>
    <row r="32" spans="1:3" ht="15" hidden="1" customHeight="1" x14ac:dyDescent="0.25">
      <c r="A32" s="252" t="s">
        <v>77</v>
      </c>
      <c r="B32" s="275" t="s">
        <v>609</v>
      </c>
      <c r="C32" s="343"/>
    </row>
    <row r="33" spans="1:5" ht="15" hidden="1" customHeight="1" x14ac:dyDescent="0.25">
      <c r="A33" s="252" t="s">
        <v>82</v>
      </c>
      <c r="B33" s="272" t="s">
        <v>610</v>
      </c>
      <c r="C33" s="343"/>
    </row>
    <row r="34" spans="1:5" ht="15" hidden="1" customHeight="1" x14ac:dyDescent="0.25">
      <c r="A34" s="252" t="s">
        <v>83</v>
      </c>
      <c r="B34" s="6" t="s">
        <v>611</v>
      </c>
      <c r="C34" s="344"/>
    </row>
    <row r="35" spans="1:5" ht="15" customHeight="1" x14ac:dyDescent="0.25">
      <c r="A35" s="252"/>
      <c r="B35" s="6"/>
      <c r="C35" s="317"/>
    </row>
    <row r="36" spans="1:5" x14ac:dyDescent="0.25">
      <c r="A36" s="141">
        <v>4</v>
      </c>
      <c r="B36" s="143" t="s">
        <v>587</v>
      </c>
      <c r="C36" s="263">
        <v>0</v>
      </c>
    </row>
    <row r="37" spans="1:5" x14ac:dyDescent="0.25">
      <c r="A37" s="144" t="s">
        <v>77</v>
      </c>
      <c r="B37" s="146" t="s">
        <v>558</v>
      </c>
      <c r="C37" s="341"/>
    </row>
    <row r="38" spans="1:5" x14ac:dyDescent="0.25">
      <c r="A38" s="144" t="s">
        <v>82</v>
      </c>
      <c r="B38" s="146" t="s">
        <v>559</v>
      </c>
      <c r="C38" s="341"/>
    </row>
    <row r="39" spans="1:5" hidden="1" x14ac:dyDescent="0.25">
      <c r="A39" s="141">
        <v>5</v>
      </c>
      <c r="B39" s="143" t="s">
        <v>612</v>
      </c>
      <c r="C39" s="263">
        <v>0</v>
      </c>
    </row>
    <row r="40" spans="1:5" hidden="1" x14ac:dyDescent="0.25">
      <c r="A40" s="43" t="s">
        <v>77</v>
      </c>
      <c r="B40" s="146" t="s">
        <v>657</v>
      </c>
      <c r="C40" s="342"/>
    </row>
    <row r="41" spans="1:5" hidden="1" x14ac:dyDescent="0.25">
      <c r="A41" s="43" t="s">
        <v>82</v>
      </c>
      <c r="B41" s="146" t="s">
        <v>613</v>
      </c>
      <c r="C41" s="343"/>
    </row>
    <row r="42" spans="1:5" hidden="1" x14ac:dyDescent="0.25">
      <c r="A42" s="43" t="s">
        <v>83</v>
      </c>
      <c r="B42" s="146" t="s">
        <v>658</v>
      </c>
      <c r="C42" s="296"/>
    </row>
    <row r="43" spans="1:5" x14ac:dyDescent="0.25">
      <c r="A43" s="141">
        <v>6</v>
      </c>
      <c r="B43" s="143" t="s">
        <v>561</v>
      </c>
      <c r="C43" s="263">
        <f>+SUM(C13+C6)*5%</f>
        <v>4.7954999999999997</v>
      </c>
    </row>
    <row r="44" spans="1:5" x14ac:dyDescent="0.25">
      <c r="A44" s="144"/>
      <c r="B44" s="147" t="s">
        <v>560</v>
      </c>
      <c r="C44" s="263">
        <f>+C6+C13+C29+C36+C43</f>
        <v>100.7055</v>
      </c>
    </row>
    <row r="45" spans="1:5" ht="15" customHeight="1" x14ac:dyDescent="0.25">
      <c r="A45" s="148"/>
      <c r="B45" s="149"/>
      <c r="C45" s="150"/>
    </row>
    <row r="46" spans="1:5" x14ac:dyDescent="0.25">
      <c r="A46" s="148"/>
      <c r="B46" s="151" t="s">
        <v>588</v>
      </c>
      <c r="C46" s="280">
        <f>+'Project Glance'!B13</f>
        <v>4.6956114583333344</v>
      </c>
      <c r="E46" s="328">
        <f>+C44+C46</f>
        <v>105.40111145833333</v>
      </c>
    </row>
    <row r="47" spans="1:5" x14ac:dyDescent="0.25">
      <c r="A47" s="339"/>
      <c r="B47" s="340"/>
      <c r="C47" s="152"/>
      <c r="E47" s="328">
        <f>+E46+34</f>
        <v>139.40111145833333</v>
      </c>
    </row>
    <row r="48" spans="1:5" ht="15" customHeight="1" x14ac:dyDescent="0.25">
      <c r="A48" s="141"/>
      <c r="B48" s="153"/>
      <c r="C48" s="141"/>
    </row>
    <row r="49" spans="1:13" x14ac:dyDescent="0.25">
      <c r="A49" s="154"/>
      <c r="B49" s="155"/>
      <c r="C49" s="154"/>
    </row>
    <row r="50" spans="1:13" x14ac:dyDescent="0.25">
      <c r="A50" s="156"/>
      <c r="B50" s="157"/>
      <c r="C50" s="156"/>
    </row>
    <row r="51" spans="1:13" x14ac:dyDescent="0.25">
      <c r="A51" s="154"/>
      <c r="B51" s="158"/>
      <c r="C51" s="154"/>
    </row>
    <row r="52" spans="1:13" x14ac:dyDescent="0.25">
      <c r="A52" s="154"/>
      <c r="B52" s="159"/>
      <c r="C52" s="160"/>
    </row>
    <row r="53" spans="1:13" x14ac:dyDescent="0.25">
      <c r="A53" s="23"/>
      <c r="B53" s="23"/>
      <c r="C53" s="23"/>
    </row>
    <row r="54" spans="1:13" x14ac:dyDescent="0.25">
      <c r="A54" s="23"/>
      <c r="B54" s="140"/>
      <c r="C54" s="23"/>
    </row>
    <row r="55" spans="1:13" ht="15.75" thickBot="1" x14ac:dyDescent="0.3"/>
    <row r="56" spans="1:13" ht="15.75" thickBot="1" x14ac:dyDescent="0.3">
      <c r="G56" s="301" t="s">
        <v>663</v>
      </c>
      <c r="H56" s="302" t="s">
        <v>664</v>
      </c>
      <c r="I56" s="302"/>
      <c r="J56" s="302"/>
      <c r="K56" s="302"/>
      <c r="L56" s="302"/>
      <c r="M56" s="302"/>
    </row>
    <row r="57" spans="1:13" ht="29.25" thickBot="1" x14ac:dyDescent="0.3">
      <c r="G57" s="303">
        <v>1</v>
      </c>
      <c r="H57" s="304" t="s">
        <v>665</v>
      </c>
      <c r="I57" s="305" t="s">
        <v>666</v>
      </c>
      <c r="J57" s="305" t="s">
        <v>667</v>
      </c>
      <c r="K57" s="305">
        <v>1</v>
      </c>
      <c r="L57" s="305" t="s">
        <v>668</v>
      </c>
      <c r="M57" s="305">
        <v>127.74</v>
      </c>
    </row>
    <row r="58" spans="1:13" ht="15.75" thickBot="1" x14ac:dyDescent="0.3">
      <c r="G58" s="303"/>
      <c r="H58" s="304"/>
      <c r="I58" s="305"/>
      <c r="J58" s="305"/>
      <c r="K58" s="305"/>
      <c r="L58" s="305"/>
      <c r="M58" s="305"/>
    </row>
    <row r="59" spans="1:13" ht="15.75" thickBot="1" x14ac:dyDescent="0.3">
      <c r="G59" s="306"/>
      <c r="H59" s="304"/>
      <c r="I59" s="305"/>
      <c r="J59" s="305"/>
      <c r="K59" s="305"/>
      <c r="L59" s="305"/>
      <c r="M59" s="305"/>
    </row>
    <row r="60" spans="1:13" ht="15.75" thickBot="1" x14ac:dyDescent="0.3">
      <c r="G60" s="307" t="s">
        <v>669</v>
      </c>
      <c r="H60" s="308" t="s">
        <v>670</v>
      </c>
      <c r="I60" s="305"/>
      <c r="J60" s="305"/>
      <c r="K60" s="309"/>
      <c r="L60" s="309"/>
      <c r="M60" s="309"/>
    </row>
    <row r="61" spans="1:13" ht="15.75" thickBot="1" x14ac:dyDescent="0.3">
      <c r="G61" s="303">
        <v>1</v>
      </c>
      <c r="H61" s="304" t="s">
        <v>634</v>
      </c>
      <c r="I61" s="305"/>
      <c r="J61" s="305">
        <v>3.4</v>
      </c>
      <c r="K61" s="305">
        <v>1</v>
      </c>
      <c r="L61" s="310">
        <v>0.17</v>
      </c>
      <c r="M61" s="305">
        <v>3.57</v>
      </c>
    </row>
    <row r="62" spans="1:13" ht="29.25" thickBot="1" x14ac:dyDescent="0.3">
      <c r="G62" s="303">
        <v>2</v>
      </c>
      <c r="H62" s="304" t="s">
        <v>642</v>
      </c>
      <c r="I62" s="305"/>
      <c r="J62" s="305">
        <v>0.7</v>
      </c>
      <c r="K62" s="305">
        <v>1</v>
      </c>
      <c r="L62" s="310">
        <v>0.04</v>
      </c>
      <c r="M62" s="305">
        <v>0.74</v>
      </c>
    </row>
    <row r="63" spans="1:13" ht="15.75" thickBot="1" x14ac:dyDescent="0.3">
      <c r="G63" s="303">
        <v>3</v>
      </c>
      <c r="H63" s="304" t="s">
        <v>643</v>
      </c>
      <c r="I63" s="305"/>
      <c r="J63" s="305">
        <v>3.56</v>
      </c>
      <c r="K63" s="305">
        <v>1</v>
      </c>
      <c r="L63" s="310">
        <v>0.18</v>
      </c>
      <c r="M63" s="305">
        <v>3.74</v>
      </c>
    </row>
    <row r="64" spans="1:13" ht="15.75" thickBot="1" x14ac:dyDescent="0.3">
      <c r="G64" s="303">
        <v>4</v>
      </c>
      <c r="H64" s="304" t="s">
        <v>644</v>
      </c>
      <c r="I64" s="305"/>
      <c r="J64" s="305">
        <v>0.56999999999999995</v>
      </c>
      <c r="K64" s="305">
        <v>1</v>
      </c>
      <c r="L64" s="310">
        <v>0.03</v>
      </c>
      <c r="M64" s="305">
        <v>0.6</v>
      </c>
    </row>
    <row r="65" spans="7:13" ht="15.75" thickBot="1" x14ac:dyDescent="0.3">
      <c r="G65" s="303">
        <v>5</v>
      </c>
      <c r="H65" s="304" t="s">
        <v>645</v>
      </c>
      <c r="I65" s="305"/>
      <c r="J65" s="305">
        <v>1.62</v>
      </c>
      <c r="K65" s="305">
        <v>1</v>
      </c>
      <c r="L65" s="310">
        <v>0.08</v>
      </c>
      <c r="M65" s="305">
        <v>1.7</v>
      </c>
    </row>
    <row r="66" spans="7:13" ht="15.75" thickBot="1" x14ac:dyDescent="0.3">
      <c r="G66" s="303">
        <v>6</v>
      </c>
      <c r="H66" s="304" t="s">
        <v>646</v>
      </c>
      <c r="I66" s="305"/>
      <c r="J66" s="305">
        <v>0.17</v>
      </c>
      <c r="K66" s="305">
        <v>1</v>
      </c>
      <c r="L66" s="310">
        <v>0.01</v>
      </c>
      <c r="M66" s="305">
        <v>0.18</v>
      </c>
    </row>
    <row r="67" spans="7:13" ht="15.75" thickBot="1" x14ac:dyDescent="0.3">
      <c r="G67" s="303">
        <v>7</v>
      </c>
      <c r="H67" s="304" t="s">
        <v>647</v>
      </c>
      <c r="I67" s="305"/>
      <c r="J67" s="305">
        <v>2.33</v>
      </c>
      <c r="K67" s="305">
        <v>1</v>
      </c>
      <c r="L67" s="310">
        <v>0.12</v>
      </c>
      <c r="M67" s="305">
        <v>2.4500000000000002</v>
      </c>
    </row>
    <row r="68" spans="7:13" ht="15.75" thickBot="1" x14ac:dyDescent="0.3">
      <c r="G68" s="303">
        <v>8</v>
      </c>
      <c r="H68" s="304" t="s">
        <v>648</v>
      </c>
      <c r="I68" s="305"/>
      <c r="J68" s="305">
        <v>0.16</v>
      </c>
      <c r="K68" s="305">
        <v>1</v>
      </c>
      <c r="L68" s="310">
        <v>0.01</v>
      </c>
      <c r="M68" s="305">
        <v>0.17</v>
      </c>
    </row>
    <row r="69" spans="7:13" ht="15.75" thickBot="1" x14ac:dyDescent="0.3">
      <c r="G69" s="303">
        <v>9</v>
      </c>
      <c r="H69" s="304" t="s">
        <v>649</v>
      </c>
      <c r="I69" s="305"/>
      <c r="J69" s="305">
        <v>2.44</v>
      </c>
      <c r="K69" s="305">
        <v>1</v>
      </c>
      <c r="L69" s="310">
        <v>0.12</v>
      </c>
      <c r="M69" s="305">
        <v>2.56</v>
      </c>
    </row>
    <row r="70" spans="7:13" ht="15.75" thickBot="1" x14ac:dyDescent="0.3">
      <c r="G70" s="303">
        <v>10</v>
      </c>
      <c r="H70" s="304" t="s">
        <v>650</v>
      </c>
      <c r="I70" s="305"/>
      <c r="J70" s="305">
        <v>0.11</v>
      </c>
      <c r="K70" s="305">
        <v>1</v>
      </c>
      <c r="L70" s="310">
        <v>0.01</v>
      </c>
      <c r="M70" s="305">
        <v>0.12</v>
      </c>
    </row>
    <row r="71" spans="7:13" ht="15.75" thickBot="1" x14ac:dyDescent="0.3">
      <c r="G71" s="303">
        <v>11</v>
      </c>
      <c r="H71" s="304" t="s">
        <v>651</v>
      </c>
      <c r="I71" s="305"/>
      <c r="J71" s="305">
        <v>2.58</v>
      </c>
      <c r="K71" s="305">
        <v>2</v>
      </c>
      <c r="L71" s="310">
        <v>0.26</v>
      </c>
      <c r="M71" s="305">
        <v>5.42</v>
      </c>
    </row>
    <row r="72" spans="7:13" ht="29.25" thickBot="1" x14ac:dyDescent="0.3">
      <c r="G72" s="303">
        <v>12</v>
      </c>
      <c r="H72" s="304" t="s">
        <v>652</v>
      </c>
      <c r="I72" s="305"/>
      <c r="J72" s="305">
        <v>0.81</v>
      </c>
      <c r="K72" s="305">
        <v>2</v>
      </c>
      <c r="L72" s="310">
        <v>0.08</v>
      </c>
      <c r="M72" s="305">
        <v>1.7</v>
      </c>
    </row>
    <row r="73" spans="7:13" ht="29.25" thickBot="1" x14ac:dyDescent="0.3">
      <c r="G73" s="303">
        <v>13</v>
      </c>
      <c r="H73" s="304" t="s">
        <v>653</v>
      </c>
      <c r="I73" s="305"/>
      <c r="J73" s="305">
        <v>0.74</v>
      </c>
      <c r="K73" s="305">
        <v>1</v>
      </c>
      <c r="L73" s="310">
        <v>0.04</v>
      </c>
      <c r="M73" s="305">
        <v>0.78</v>
      </c>
    </row>
    <row r="74" spans="7:13" ht="15.75" thickBot="1" x14ac:dyDescent="0.3">
      <c r="G74" s="303">
        <v>14</v>
      </c>
      <c r="H74" s="304" t="s">
        <v>654</v>
      </c>
      <c r="I74" s="305"/>
      <c r="J74" s="305">
        <v>0.46</v>
      </c>
      <c r="K74" s="305">
        <v>1</v>
      </c>
      <c r="L74" s="310">
        <v>0.02</v>
      </c>
      <c r="M74" s="305">
        <v>0.48</v>
      </c>
    </row>
    <row r="75" spans="7:13" ht="15.75" thickBot="1" x14ac:dyDescent="0.3">
      <c r="G75" s="303">
        <v>15</v>
      </c>
      <c r="H75" s="304" t="s">
        <v>655</v>
      </c>
      <c r="I75" s="305"/>
      <c r="J75" s="305">
        <v>0.66</v>
      </c>
      <c r="K75" s="305">
        <v>1</v>
      </c>
      <c r="L75" s="310">
        <v>0.03</v>
      </c>
      <c r="M75" s="305">
        <v>0.69</v>
      </c>
    </row>
    <row r="76" spans="7:13" ht="29.25" thickBot="1" x14ac:dyDescent="0.3">
      <c r="G76" s="303">
        <v>16</v>
      </c>
      <c r="H76" s="304" t="s">
        <v>656</v>
      </c>
      <c r="I76" s="305"/>
      <c r="J76" s="305">
        <v>1.46</v>
      </c>
      <c r="K76" s="305">
        <v>1</v>
      </c>
      <c r="L76" s="305">
        <v>7.0000000000000007E-2</v>
      </c>
      <c r="M76" s="305">
        <v>1.53</v>
      </c>
    </row>
    <row r="77" spans="7:13" ht="15.75" thickBot="1" x14ac:dyDescent="0.3">
      <c r="G77" s="303">
        <v>17</v>
      </c>
      <c r="H77" s="304" t="s">
        <v>671</v>
      </c>
      <c r="I77" s="305"/>
      <c r="J77" s="305">
        <v>5</v>
      </c>
      <c r="K77" s="305">
        <v>1</v>
      </c>
      <c r="L77" s="305">
        <v>0.25</v>
      </c>
      <c r="M77" s="305">
        <v>5.25</v>
      </c>
    </row>
    <row r="78" spans="7:13" ht="15.75" thickBot="1" x14ac:dyDescent="0.3">
      <c r="G78" s="303">
        <v>18</v>
      </c>
      <c r="H78" s="304" t="s">
        <v>672</v>
      </c>
      <c r="I78" s="305"/>
      <c r="J78" s="305">
        <v>1</v>
      </c>
      <c r="K78" s="305">
        <v>10</v>
      </c>
      <c r="L78" s="305">
        <v>0.5</v>
      </c>
      <c r="M78" s="305">
        <v>10.5</v>
      </c>
    </row>
    <row r="79" spans="7:13" ht="15.75" thickBot="1" x14ac:dyDescent="0.3">
      <c r="G79" s="306">
        <v>19</v>
      </c>
      <c r="H79" s="304" t="s">
        <v>673</v>
      </c>
      <c r="I79" s="305"/>
      <c r="J79" s="305">
        <v>1.2</v>
      </c>
      <c r="K79" s="305">
        <v>1</v>
      </c>
      <c r="L79" s="305">
        <v>0.06</v>
      </c>
      <c r="M79" s="305">
        <v>1.26</v>
      </c>
    </row>
    <row r="80" spans="7:13" ht="15.75" thickBot="1" x14ac:dyDescent="0.3">
      <c r="G80" s="306">
        <v>20</v>
      </c>
      <c r="H80" s="304" t="s">
        <v>674</v>
      </c>
      <c r="I80" s="305"/>
      <c r="J80" s="305">
        <v>8.9</v>
      </c>
      <c r="K80" s="305">
        <v>1</v>
      </c>
      <c r="L80" s="310">
        <v>1.6</v>
      </c>
      <c r="M80" s="305">
        <v>10.5</v>
      </c>
    </row>
    <row r="81" spans="7:13" ht="15.75" thickBot="1" x14ac:dyDescent="0.3">
      <c r="G81" s="306">
        <v>21</v>
      </c>
      <c r="H81" s="304" t="s">
        <v>658</v>
      </c>
      <c r="I81" s="305"/>
      <c r="J81" s="305">
        <v>4.8</v>
      </c>
      <c r="K81" s="305">
        <v>1</v>
      </c>
      <c r="L81" s="310">
        <v>0.86</v>
      </c>
      <c r="M81" s="305">
        <v>5.66</v>
      </c>
    </row>
    <row r="82" spans="7:13" ht="29.25" thickBot="1" x14ac:dyDescent="0.3">
      <c r="G82" s="306">
        <v>22</v>
      </c>
      <c r="H82" s="304" t="s">
        <v>675</v>
      </c>
      <c r="I82" s="305"/>
      <c r="J82" s="305">
        <v>8.4700000000000006</v>
      </c>
      <c r="K82" s="305" t="s">
        <v>676</v>
      </c>
      <c r="L82" s="310">
        <v>1.53</v>
      </c>
      <c r="M82" s="305">
        <v>10</v>
      </c>
    </row>
    <row r="83" spans="7:13" ht="15.75" thickBot="1" x14ac:dyDescent="0.3">
      <c r="G83" s="306"/>
      <c r="H83" s="311"/>
      <c r="I83" s="305"/>
      <c r="J83" s="305"/>
      <c r="K83" s="305"/>
      <c r="L83" s="310"/>
      <c r="M83" s="305"/>
    </row>
    <row r="84" spans="7:13" ht="15.75" thickBot="1" x14ac:dyDescent="0.3">
      <c r="G84" s="307" t="s">
        <v>677</v>
      </c>
      <c r="H84" s="308" t="s">
        <v>678</v>
      </c>
      <c r="I84" s="309"/>
      <c r="J84" s="309"/>
      <c r="K84" s="309"/>
      <c r="L84" s="309"/>
      <c r="M84" s="309"/>
    </row>
    <row r="85" spans="7:13" ht="84" customHeight="1" x14ac:dyDescent="0.25">
      <c r="G85" s="333">
        <v>1</v>
      </c>
      <c r="H85" s="335" t="s">
        <v>679</v>
      </c>
      <c r="I85" s="333" t="s">
        <v>680</v>
      </c>
      <c r="J85" s="333">
        <v>0.3</v>
      </c>
      <c r="K85" s="312" t="s">
        <v>681</v>
      </c>
      <c r="L85" s="333" t="s">
        <v>668</v>
      </c>
      <c r="M85" s="333">
        <v>0.3</v>
      </c>
    </row>
    <row r="86" spans="7:13" ht="15.75" thickBot="1" x14ac:dyDescent="0.3">
      <c r="G86" s="334"/>
      <c r="H86" s="336"/>
      <c r="I86" s="334"/>
      <c r="J86" s="334"/>
      <c r="K86" s="305" t="s">
        <v>682</v>
      </c>
      <c r="L86" s="334"/>
      <c r="M86" s="334"/>
    </row>
    <row r="87" spans="7:13" ht="15.75" thickBot="1" x14ac:dyDescent="0.3">
      <c r="G87" s="313" t="s">
        <v>683</v>
      </c>
      <c r="H87" s="308" t="s">
        <v>684</v>
      </c>
      <c r="I87" s="305" t="s">
        <v>676</v>
      </c>
      <c r="J87" s="305" t="s">
        <v>676</v>
      </c>
      <c r="K87" s="305" t="s">
        <v>676</v>
      </c>
      <c r="L87" s="305" t="s">
        <v>676</v>
      </c>
      <c r="M87" s="305" t="s">
        <v>676</v>
      </c>
    </row>
    <row r="88" spans="7:13" x14ac:dyDescent="0.25">
      <c r="G88" s="333">
        <v>1</v>
      </c>
      <c r="H88" s="335" t="s">
        <v>685</v>
      </c>
      <c r="I88" s="337" t="s">
        <v>680</v>
      </c>
      <c r="J88" s="333">
        <v>6.46</v>
      </c>
      <c r="K88" s="314" t="s">
        <v>681</v>
      </c>
      <c r="L88" s="337" t="s">
        <v>668</v>
      </c>
      <c r="M88" s="333">
        <v>6.46</v>
      </c>
    </row>
    <row r="89" spans="7:13" ht="15.75" thickBot="1" x14ac:dyDescent="0.3">
      <c r="G89" s="334"/>
      <c r="H89" s="336"/>
      <c r="I89" s="338"/>
      <c r="J89" s="334"/>
      <c r="K89" s="315" t="s">
        <v>682</v>
      </c>
      <c r="L89" s="338"/>
      <c r="M89" s="334"/>
    </row>
    <row r="90" spans="7:13" ht="15.75" thickBot="1" x14ac:dyDescent="0.3">
      <c r="G90" s="313" t="s">
        <v>686</v>
      </c>
      <c r="H90" s="308" t="s">
        <v>687</v>
      </c>
      <c r="I90" s="305" t="s">
        <v>680</v>
      </c>
      <c r="J90" s="305">
        <v>5</v>
      </c>
      <c r="K90" s="305" t="s">
        <v>680</v>
      </c>
      <c r="L90" s="310" t="s">
        <v>668</v>
      </c>
      <c r="M90" s="305">
        <v>5</v>
      </c>
    </row>
    <row r="91" spans="7:13" ht="15.75" thickBot="1" x14ac:dyDescent="0.3">
      <c r="G91" s="313" t="s">
        <v>688</v>
      </c>
      <c r="H91" s="308" t="s">
        <v>23</v>
      </c>
      <c r="I91" s="305" t="s">
        <v>676</v>
      </c>
      <c r="J91" s="305" t="s">
        <v>676</v>
      </c>
      <c r="K91" s="305" t="s">
        <v>676</v>
      </c>
      <c r="L91" s="305" t="s">
        <v>676</v>
      </c>
      <c r="M91" s="305" t="s">
        <v>676</v>
      </c>
    </row>
    <row r="92" spans="7:13" ht="15.75" thickBot="1" x14ac:dyDescent="0.3">
      <c r="G92" s="306"/>
      <c r="H92" s="316" t="s">
        <v>689</v>
      </c>
      <c r="I92" s="309"/>
      <c r="J92" s="309"/>
      <c r="K92" s="309"/>
      <c r="L92" s="309"/>
      <c r="M92" s="309">
        <v>209.1</v>
      </c>
    </row>
  </sheetData>
  <mergeCells count="17">
    <mergeCell ref="A47:B47"/>
    <mergeCell ref="C37:C38"/>
    <mergeCell ref="C40:C41"/>
    <mergeCell ref="C32:C34"/>
    <mergeCell ref="C7:C12"/>
    <mergeCell ref="M85:M86"/>
    <mergeCell ref="G88:G89"/>
    <mergeCell ref="H88:H89"/>
    <mergeCell ref="I88:I89"/>
    <mergeCell ref="J88:J89"/>
    <mergeCell ref="L88:L89"/>
    <mergeCell ref="M88:M89"/>
    <mergeCell ref="G85:G86"/>
    <mergeCell ref="H85:H86"/>
    <mergeCell ref="I85:I86"/>
    <mergeCell ref="J85:J86"/>
    <mergeCell ref="L85:L86"/>
  </mergeCells>
  <pageMargins left="0.7" right="0.7" top="0.75" bottom="0.75" header="0.3" footer="0.3"/>
  <pageSetup scale="94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view="pageBreakPreview" zoomScale="70" zoomScaleNormal="100" zoomScaleSheetLayoutView="70" workbookViewId="0">
      <selection sqref="A1:L45"/>
    </sheetView>
  </sheetViews>
  <sheetFormatPr defaultColWidth="9.140625" defaultRowHeight="15" x14ac:dyDescent="0.25"/>
  <cols>
    <col min="1" max="1" width="4" style="1" bestFit="1" customWidth="1"/>
    <col min="2" max="2" width="25.140625" style="1" bestFit="1" customWidth="1"/>
    <col min="3" max="3" width="12.85546875" style="1" bestFit="1" customWidth="1"/>
    <col min="4" max="6" width="12.28515625" style="1" bestFit="1" customWidth="1"/>
    <col min="7" max="7" width="13.42578125" style="1" bestFit="1" customWidth="1"/>
    <col min="8" max="8" width="12.5703125" style="1" bestFit="1" customWidth="1"/>
    <col min="9" max="12" width="13.42578125" style="1" bestFit="1" customWidth="1"/>
    <col min="13" max="16384" width="9.140625" style="1"/>
  </cols>
  <sheetData>
    <row r="1" spans="1:12" x14ac:dyDescent="0.25">
      <c r="A1" s="46" t="s">
        <v>76</v>
      </c>
      <c r="B1" s="15" t="s">
        <v>1</v>
      </c>
      <c r="C1" s="39" t="s">
        <v>36</v>
      </c>
      <c r="D1" s="39" t="s">
        <v>37</v>
      </c>
      <c r="E1" s="39" t="s">
        <v>38</v>
      </c>
      <c r="F1" s="39" t="s">
        <v>39</v>
      </c>
      <c r="G1" s="39" t="s">
        <v>40</v>
      </c>
      <c r="H1" s="39" t="s">
        <v>41</v>
      </c>
      <c r="I1" s="221" t="s">
        <v>42</v>
      </c>
      <c r="J1" s="221" t="s">
        <v>495</v>
      </c>
      <c r="K1" s="221" t="s">
        <v>496</v>
      </c>
      <c r="L1" s="221" t="s">
        <v>497</v>
      </c>
    </row>
    <row r="2" spans="1:12" s="323" customFormat="1" x14ac:dyDescent="0.25">
      <c r="A2" s="320"/>
      <c r="B2" s="321"/>
      <c r="C2" s="322"/>
      <c r="D2" s="322"/>
      <c r="E2" s="322"/>
      <c r="F2" s="322"/>
      <c r="G2" s="322"/>
      <c r="H2" s="322"/>
      <c r="I2" s="322"/>
      <c r="J2" s="322"/>
      <c r="K2" s="322"/>
      <c r="L2" s="322"/>
    </row>
    <row r="3" spans="1:12" s="323" customFormat="1" x14ac:dyDescent="0.25">
      <c r="A3" s="320"/>
      <c r="B3" s="324" t="s">
        <v>694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</row>
    <row r="4" spans="1:12" x14ac:dyDescent="0.25">
      <c r="A4" s="7" t="s">
        <v>77</v>
      </c>
      <c r="B4" s="26" t="str">
        <f>'CS-FG'!B4</f>
        <v>Tur Dall</v>
      </c>
      <c r="C4" s="36">
        <f>'CS-FG'!C7</f>
        <v>157</v>
      </c>
      <c r="D4" s="36">
        <f>'CS-FG'!D7</f>
        <v>180</v>
      </c>
      <c r="E4" s="36">
        <f>'CS-FG'!E7</f>
        <v>196</v>
      </c>
      <c r="F4" s="36">
        <f>'CS-FG'!F7</f>
        <v>214</v>
      </c>
      <c r="G4" s="36">
        <f>'CS-FG'!G7</f>
        <v>229</v>
      </c>
      <c r="H4" s="36">
        <f>'CS-FG'!H7</f>
        <v>245</v>
      </c>
      <c r="I4" s="36">
        <f>'CS-FG'!I7</f>
        <v>263</v>
      </c>
      <c r="J4" s="36">
        <f>'CS-FG'!J7</f>
        <v>278</v>
      </c>
      <c r="K4" s="36">
        <f>'CS-FG'!K7</f>
        <v>295</v>
      </c>
      <c r="L4" s="36">
        <f>'CS-FG'!L7</f>
        <v>311</v>
      </c>
    </row>
    <row r="5" spans="1:12" x14ac:dyDescent="0.25">
      <c r="A5" s="6"/>
      <c r="B5" s="36" t="s">
        <v>74</v>
      </c>
      <c r="C5" s="42">
        <f>'CS-FG'!C35</f>
        <v>85000</v>
      </c>
      <c r="D5" s="42">
        <f>'CS-FG'!D35</f>
        <v>89250</v>
      </c>
      <c r="E5" s="42">
        <f>'CS-FG'!E35</f>
        <v>93710</v>
      </c>
      <c r="F5" s="42">
        <f>'CS-FG'!F35</f>
        <v>98400</v>
      </c>
      <c r="G5" s="42">
        <f>'CS-FG'!G35</f>
        <v>103320</v>
      </c>
      <c r="H5" s="42">
        <f>'CS-FG'!H35</f>
        <v>108490</v>
      </c>
      <c r="I5" s="42">
        <f>'CS-FG'!I35</f>
        <v>113910</v>
      </c>
      <c r="J5" s="42">
        <f>'CS-FG'!J35</f>
        <v>119610</v>
      </c>
      <c r="K5" s="42">
        <f>'CS-FG'!K35</f>
        <v>125590</v>
      </c>
      <c r="L5" s="42">
        <f>'CS-FG'!L35</f>
        <v>131870</v>
      </c>
    </row>
    <row r="6" spans="1:12" x14ac:dyDescent="0.25">
      <c r="A6" s="6"/>
      <c r="B6" s="26" t="s">
        <v>86</v>
      </c>
      <c r="C6" s="41">
        <f>C4*C5/100000</f>
        <v>133.44999999999999</v>
      </c>
      <c r="D6" s="41">
        <f t="shared" ref="D6:I6" si="0">D4*D5/100000</f>
        <v>160.65</v>
      </c>
      <c r="E6" s="41">
        <f t="shared" si="0"/>
        <v>183.67160000000001</v>
      </c>
      <c r="F6" s="41">
        <f t="shared" si="0"/>
        <v>210.57599999999999</v>
      </c>
      <c r="G6" s="41">
        <f t="shared" si="0"/>
        <v>236.6028</v>
      </c>
      <c r="H6" s="41">
        <f t="shared" si="0"/>
        <v>265.8005</v>
      </c>
      <c r="I6" s="41">
        <f t="shared" si="0"/>
        <v>299.58330000000001</v>
      </c>
      <c r="J6" s="41">
        <f t="shared" ref="J6:L6" si="1">J4*J5/100000</f>
        <v>332.51580000000001</v>
      </c>
      <c r="K6" s="41">
        <f t="shared" si="1"/>
        <v>370.4905</v>
      </c>
      <c r="L6" s="41">
        <f t="shared" si="1"/>
        <v>410.1157</v>
      </c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A8" s="7" t="s">
        <v>82</v>
      </c>
      <c r="B8" s="26" t="str">
        <f>'CS-FG'!B10</f>
        <v>Cattle Feed</v>
      </c>
      <c r="C8" s="36">
        <f>'CS-FG'!C13</f>
        <v>54</v>
      </c>
      <c r="D8" s="36">
        <f>'CS-FG'!D13</f>
        <v>61</v>
      </c>
      <c r="E8" s="36">
        <f>'CS-FG'!E13</f>
        <v>68</v>
      </c>
      <c r="F8" s="36">
        <f>'CS-FG'!F13</f>
        <v>73</v>
      </c>
      <c r="G8" s="36">
        <f>'CS-FG'!G13</f>
        <v>79</v>
      </c>
      <c r="H8" s="36">
        <f>'CS-FG'!H13</f>
        <v>83</v>
      </c>
      <c r="I8" s="36">
        <f>'CS-FG'!I13</f>
        <v>90</v>
      </c>
      <c r="J8" s="36">
        <f>'CS-FG'!J13</f>
        <v>96</v>
      </c>
      <c r="K8" s="36">
        <f>'CS-FG'!K13</f>
        <v>101</v>
      </c>
      <c r="L8" s="36">
        <f>'CS-FG'!L13</f>
        <v>106</v>
      </c>
    </row>
    <row r="9" spans="1:12" x14ac:dyDescent="0.25">
      <c r="A9" s="6"/>
      <c r="B9" s="36" t="s">
        <v>74</v>
      </c>
      <c r="C9" s="42">
        <f>'CS-FG'!C36</f>
        <v>20000</v>
      </c>
      <c r="D9" s="42">
        <f>'CS-FG'!D36</f>
        <v>21000</v>
      </c>
      <c r="E9" s="42">
        <f>'CS-FG'!E36</f>
        <v>22050</v>
      </c>
      <c r="F9" s="42">
        <f>'CS-FG'!F36</f>
        <v>23150</v>
      </c>
      <c r="G9" s="42">
        <f>'CS-FG'!G36</f>
        <v>24310</v>
      </c>
      <c r="H9" s="42">
        <f>'CS-FG'!H36</f>
        <v>25530</v>
      </c>
      <c r="I9" s="42">
        <f>'CS-FG'!I36</f>
        <v>26810</v>
      </c>
      <c r="J9" s="42">
        <f>'CS-FG'!J36</f>
        <v>28150</v>
      </c>
      <c r="K9" s="42">
        <f>'CS-FG'!K36</f>
        <v>29560</v>
      </c>
      <c r="L9" s="42">
        <f>'CS-FG'!L36</f>
        <v>31040</v>
      </c>
    </row>
    <row r="10" spans="1:12" x14ac:dyDescent="0.25">
      <c r="A10" s="6"/>
      <c r="B10" s="26" t="s">
        <v>86</v>
      </c>
      <c r="C10" s="41">
        <f>C8*C9/100000</f>
        <v>10.8</v>
      </c>
      <c r="D10" s="41">
        <f t="shared" ref="D10:I10" si="2">D8*D9/100000</f>
        <v>12.81</v>
      </c>
      <c r="E10" s="41">
        <f t="shared" si="2"/>
        <v>14.994</v>
      </c>
      <c r="F10" s="41">
        <f t="shared" si="2"/>
        <v>16.8995</v>
      </c>
      <c r="G10" s="41">
        <f t="shared" si="2"/>
        <v>19.204899999999999</v>
      </c>
      <c r="H10" s="41">
        <f t="shared" si="2"/>
        <v>21.189900000000002</v>
      </c>
      <c r="I10" s="41">
        <f t="shared" si="2"/>
        <v>24.129000000000001</v>
      </c>
      <c r="J10" s="41">
        <f t="shared" ref="J10:L10" si="3">J8*J9/100000</f>
        <v>27.024000000000001</v>
      </c>
      <c r="K10" s="41">
        <f t="shared" si="3"/>
        <v>29.855599999999999</v>
      </c>
      <c r="L10" s="41">
        <f t="shared" si="3"/>
        <v>32.9024</v>
      </c>
    </row>
    <row r="11" spans="1:12" x14ac:dyDescent="0.25">
      <c r="A11" s="6"/>
      <c r="B11" s="6"/>
      <c r="C11" s="332"/>
      <c r="D11" s="332"/>
      <c r="E11" s="332"/>
      <c r="F11" s="332"/>
      <c r="G11" s="332"/>
      <c r="H11" s="332"/>
      <c r="I11" s="332"/>
      <c r="J11" s="6"/>
      <c r="K11" s="6"/>
      <c r="L11" s="6"/>
    </row>
    <row r="12" spans="1:12" hidden="1" x14ac:dyDescent="0.25">
      <c r="A12" s="7" t="s">
        <v>83</v>
      </c>
      <c r="B12" s="26" t="str">
        <f>'CS-FG'!B16</f>
        <v>Bhusa</v>
      </c>
      <c r="C12" s="36"/>
      <c r="D12" s="36"/>
      <c r="E12" s="36"/>
      <c r="F12" s="36"/>
      <c r="G12" s="36"/>
      <c r="H12" s="36"/>
      <c r="I12" s="36"/>
      <c r="J12" s="36">
        <f>'CS-FG'!J19</f>
        <v>0</v>
      </c>
      <c r="K12" s="36">
        <f>'CS-FG'!K19</f>
        <v>0</v>
      </c>
      <c r="L12" s="36">
        <f>'CS-FG'!L19</f>
        <v>0</v>
      </c>
    </row>
    <row r="13" spans="1:12" hidden="1" x14ac:dyDescent="0.25">
      <c r="A13" s="6"/>
      <c r="B13" s="36" t="s">
        <v>74</v>
      </c>
      <c r="C13" s="42"/>
      <c r="D13" s="42"/>
      <c r="E13" s="42"/>
      <c r="F13" s="42"/>
      <c r="G13" s="42"/>
      <c r="H13" s="42"/>
      <c r="I13" s="42"/>
      <c r="J13" s="42">
        <f>'CS-FG'!J37</f>
        <v>0</v>
      </c>
      <c r="K13" s="42">
        <f>'CS-FG'!K37</f>
        <v>0</v>
      </c>
      <c r="L13" s="42">
        <f>'CS-FG'!L37</f>
        <v>0</v>
      </c>
    </row>
    <row r="14" spans="1:12" hidden="1" x14ac:dyDescent="0.25">
      <c r="A14" s="6"/>
      <c r="B14" s="26" t="s">
        <v>86</v>
      </c>
      <c r="C14" s="41"/>
      <c r="D14" s="41"/>
      <c r="E14" s="41"/>
      <c r="F14" s="41"/>
      <c r="G14" s="41"/>
      <c r="H14" s="41"/>
      <c r="I14" s="41"/>
      <c r="J14" s="41">
        <f t="shared" ref="J14:L14" si="4">J12*J13/100000</f>
        <v>0</v>
      </c>
      <c r="K14" s="41">
        <f t="shared" si="4"/>
        <v>0</v>
      </c>
      <c r="L14" s="41">
        <f t="shared" si="4"/>
        <v>0</v>
      </c>
    </row>
    <row r="15" spans="1:12" hidden="1" x14ac:dyDescent="0.25">
      <c r="A15" s="6"/>
      <c r="B15" s="26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idden="1" x14ac:dyDescent="0.25">
      <c r="A16" s="262" t="s">
        <v>401</v>
      </c>
      <c r="B16" s="26" t="str">
        <f>'CS-FG'!B22</f>
        <v>Powder</v>
      </c>
      <c r="C16" s="36"/>
      <c r="D16" s="36"/>
      <c r="E16" s="36"/>
      <c r="F16" s="36"/>
      <c r="G16" s="36"/>
      <c r="H16" s="36"/>
      <c r="I16" s="36"/>
      <c r="J16" s="36">
        <f>'CS-FG'!J25</f>
        <v>0</v>
      </c>
      <c r="K16" s="36">
        <f>'CS-FG'!K25</f>
        <v>0</v>
      </c>
      <c r="L16" s="36">
        <f>'CS-FG'!L25</f>
        <v>0</v>
      </c>
    </row>
    <row r="17" spans="1:12" hidden="1" x14ac:dyDescent="0.25">
      <c r="A17" s="6"/>
      <c r="B17" s="36" t="s">
        <v>74</v>
      </c>
      <c r="C17" s="42"/>
      <c r="D17" s="42"/>
      <c r="E17" s="42"/>
      <c r="F17" s="42"/>
      <c r="G17" s="42"/>
      <c r="H17" s="42"/>
      <c r="I17" s="42"/>
      <c r="J17" s="42">
        <f>'CS-FG'!J38</f>
        <v>0</v>
      </c>
      <c r="K17" s="42">
        <f>'CS-FG'!K38</f>
        <v>0</v>
      </c>
      <c r="L17" s="42">
        <f>'CS-FG'!L38</f>
        <v>0</v>
      </c>
    </row>
    <row r="18" spans="1:12" hidden="1" x14ac:dyDescent="0.25">
      <c r="A18" s="6"/>
      <c r="B18" s="26" t="s">
        <v>86</v>
      </c>
      <c r="C18" s="41"/>
      <c r="D18" s="41"/>
      <c r="E18" s="41"/>
      <c r="F18" s="41"/>
      <c r="G18" s="41"/>
      <c r="H18" s="41"/>
      <c r="I18" s="41"/>
      <c r="J18" s="41">
        <f t="shared" ref="J18:L18" si="5">J16*J17/100000</f>
        <v>0</v>
      </c>
      <c r="K18" s="41">
        <f t="shared" si="5"/>
        <v>0</v>
      </c>
      <c r="L18" s="41">
        <f t="shared" si="5"/>
        <v>0</v>
      </c>
    </row>
    <row r="19" spans="1:12" hidden="1" x14ac:dyDescent="0.25">
      <c r="A19" s="6"/>
      <c r="B19" s="26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idden="1" x14ac:dyDescent="0.25">
      <c r="A20" s="298" t="s">
        <v>401</v>
      </c>
      <c r="B20" s="26" t="str">
        <f>'CS-FG'!B28</f>
        <v>Waste</v>
      </c>
      <c r="C20" s="36"/>
      <c r="D20" s="36"/>
      <c r="E20" s="36"/>
      <c r="F20" s="36"/>
      <c r="G20" s="36"/>
      <c r="H20" s="36"/>
      <c r="I20" s="36"/>
      <c r="J20" s="36">
        <f>'CS-FG'!J31</f>
        <v>8</v>
      </c>
      <c r="K20" s="36">
        <f>'CS-FG'!K31</f>
        <v>8</v>
      </c>
      <c r="L20" s="36">
        <f>'CS-FG'!L31</f>
        <v>9</v>
      </c>
    </row>
    <row r="21" spans="1:12" hidden="1" x14ac:dyDescent="0.25">
      <c r="A21" s="6"/>
      <c r="B21" s="36" t="s">
        <v>74</v>
      </c>
      <c r="C21" s="42"/>
      <c r="D21" s="42"/>
      <c r="E21" s="42"/>
      <c r="F21" s="42"/>
      <c r="G21" s="42"/>
      <c r="H21" s="42"/>
      <c r="I21" s="42"/>
      <c r="J21" s="42">
        <f>+'CS-FG'!J39</f>
        <v>0</v>
      </c>
      <c r="K21" s="42">
        <f>+'CS-FG'!K39</f>
        <v>0</v>
      </c>
      <c r="L21" s="42">
        <f>+'CS-FG'!L39</f>
        <v>0</v>
      </c>
    </row>
    <row r="22" spans="1:12" hidden="1" x14ac:dyDescent="0.25">
      <c r="A22" s="6"/>
      <c r="B22" s="26" t="s">
        <v>86</v>
      </c>
      <c r="C22" s="41"/>
      <c r="D22" s="41"/>
      <c r="E22" s="41"/>
      <c r="F22" s="41"/>
      <c r="G22" s="41"/>
      <c r="H22" s="41"/>
      <c r="I22" s="41"/>
      <c r="J22" s="41">
        <f t="shared" ref="J22:L22" si="6">J20*J21/100000</f>
        <v>0</v>
      </c>
      <c r="K22" s="41">
        <f t="shared" si="6"/>
        <v>0</v>
      </c>
      <c r="L22" s="41">
        <f t="shared" si="6"/>
        <v>0</v>
      </c>
    </row>
    <row r="23" spans="1:12" x14ac:dyDescent="0.25">
      <c r="A23" s="6"/>
      <c r="B23" s="6"/>
      <c r="C23" s="332"/>
      <c r="D23" s="332"/>
      <c r="E23" s="332"/>
      <c r="F23" s="332"/>
      <c r="G23" s="332"/>
      <c r="H23" s="332"/>
      <c r="I23" s="332"/>
      <c r="J23" s="6"/>
      <c r="K23" s="6"/>
      <c r="L23" s="6"/>
    </row>
    <row r="24" spans="1:12" s="323" customFormat="1" x14ac:dyDescent="0.25">
      <c r="A24" s="320"/>
      <c r="B24" s="324" t="s">
        <v>695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2"/>
    </row>
    <row r="25" spans="1:12" x14ac:dyDescent="0.25">
      <c r="A25" s="298" t="s">
        <v>77</v>
      </c>
      <c r="B25" s="26" t="str">
        <f>+'CS-FG'!B93</f>
        <v>Chana Dall</v>
      </c>
      <c r="C25" s="36">
        <f>+'CS-FG'!C65</f>
        <v>108</v>
      </c>
      <c r="D25" s="36">
        <f>+'CS-FG'!D65</f>
        <v>124</v>
      </c>
      <c r="E25" s="36">
        <f>+'CS-FG'!E65</f>
        <v>134</v>
      </c>
      <c r="F25" s="36">
        <f>+'CS-FG'!F65</f>
        <v>146</v>
      </c>
      <c r="G25" s="36">
        <f>+'CS-FG'!G65</f>
        <v>157</v>
      </c>
      <c r="H25" s="36">
        <f>+'CS-FG'!H65</f>
        <v>169</v>
      </c>
      <c r="I25" s="36">
        <f>+'CS-FG'!I65</f>
        <v>179</v>
      </c>
      <c r="J25" s="36">
        <f>+'CS-FG'!J65</f>
        <v>191</v>
      </c>
      <c r="K25" s="36">
        <f>+'CS-FG'!K65</f>
        <v>202</v>
      </c>
      <c r="L25" s="36">
        <f>+'CS-FG'!L65</f>
        <v>214</v>
      </c>
    </row>
    <row r="26" spans="1:12" x14ac:dyDescent="0.25">
      <c r="A26" s="6"/>
      <c r="B26" s="36" t="s">
        <v>74</v>
      </c>
      <c r="C26" s="42">
        <f>+'CS-FG'!C93</f>
        <v>80000</v>
      </c>
      <c r="D26" s="42">
        <f>+'CS-FG'!D93</f>
        <v>84000</v>
      </c>
      <c r="E26" s="42">
        <f>+'CS-FG'!E93</f>
        <v>88200</v>
      </c>
      <c r="F26" s="42">
        <f>+'CS-FG'!F93</f>
        <v>92610</v>
      </c>
      <c r="G26" s="42">
        <f>+'CS-FG'!G93</f>
        <v>97240</v>
      </c>
      <c r="H26" s="42">
        <f>+'CS-FG'!H93</f>
        <v>102100</v>
      </c>
      <c r="I26" s="42">
        <f>+'CS-FG'!I93</f>
        <v>107210</v>
      </c>
      <c r="J26" s="42">
        <f>+'CS-FG'!J93</f>
        <v>112570</v>
      </c>
      <c r="K26" s="42">
        <f>+'CS-FG'!K93</f>
        <v>118200</v>
      </c>
      <c r="L26" s="42">
        <f>+'CS-FG'!L93</f>
        <v>124110</v>
      </c>
    </row>
    <row r="27" spans="1:12" x14ac:dyDescent="0.25">
      <c r="A27" s="6"/>
      <c r="B27" s="26" t="s">
        <v>86</v>
      </c>
      <c r="C27" s="41">
        <f>C25*C26/100000</f>
        <v>86.4</v>
      </c>
      <c r="D27" s="41">
        <f t="shared" ref="D27:L27" si="7">D25*D26/100000</f>
        <v>104.16</v>
      </c>
      <c r="E27" s="41">
        <f t="shared" si="7"/>
        <v>118.188</v>
      </c>
      <c r="F27" s="41">
        <f t="shared" si="7"/>
        <v>135.2106</v>
      </c>
      <c r="G27" s="41">
        <f t="shared" si="7"/>
        <v>152.66679999999999</v>
      </c>
      <c r="H27" s="41">
        <f t="shared" si="7"/>
        <v>172.54900000000001</v>
      </c>
      <c r="I27" s="41">
        <f t="shared" si="7"/>
        <v>191.9059</v>
      </c>
      <c r="J27" s="41">
        <f t="shared" si="7"/>
        <v>215.0087</v>
      </c>
      <c r="K27" s="41">
        <f t="shared" si="7"/>
        <v>238.76400000000001</v>
      </c>
      <c r="L27" s="41">
        <f t="shared" si="7"/>
        <v>265.59539999999998</v>
      </c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298" t="s">
        <v>82</v>
      </c>
      <c r="B29" s="26" t="str">
        <f>'CS-FG'!B94</f>
        <v>Chuni</v>
      </c>
      <c r="C29" s="36">
        <f>'CS-FG'!C71</f>
        <v>11</v>
      </c>
      <c r="D29" s="36">
        <f>'CS-FG'!D71</f>
        <v>13</v>
      </c>
      <c r="E29" s="36">
        <f>'CS-FG'!E71</f>
        <v>14</v>
      </c>
      <c r="F29" s="36">
        <f>'CS-FG'!F71</f>
        <v>16</v>
      </c>
      <c r="G29" s="36">
        <f>'CS-FG'!G71</f>
        <v>17</v>
      </c>
      <c r="H29" s="36">
        <f>'CS-FG'!H71</f>
        <v>18</v>
      </c>
      <c r="I29" s="36">
        <f>'CS-FG'!I71</f>
        <v>19</v>
      </c>
      <c r="J29" s="36">
        <f>'CS-FG'!J71</f>
        <v>20</v>
      </c>
      <c r="K29" s="36">
        <f>'CS-FG'!K71</f>
        <v>22</v>
      </c>
      <c r="L29" s="36">
        <f>'CS-FG'!L71</f>
        <v>23</v>
      </c>
    </row>
    <row r="30" spans="1:12" x14ac:dyDescent="0.25">
      <c r="A30" s="6"/>
      <c r="B30" s="36" t="s">
        <v>74</v>
      </c>
      <c r="C30" s="42">
        <f>'CS-FG'!C94</f>
        <v>15000</v>
      </c>
      <c r="D30" s="42">
        <f>'CS-FG'!D94</f>
        <v>15750</v>
      </c>
      <c r="E30" s="42">
        <f>'CS-FG'!E94</f>
        <v>16540</v>
      </c>
      <c r="F30" s="42">
        <f>'CS-FG'!F94</f>
        <v>17370</v>
      </c>
      <c r="G30" s="42">
        <f>'CS-FG'!G94</f>
        <v>18240</v>
      </c>
      <c r="H30" s="42">
        <f>'CS-FG'!H94</f>
        <v>19150</v>
      </c>
      <c r="I30" s="42">
        <f>'CS-FG'!I94</f>
        <v>20110</v>
      </c>
      <c r="J30" s="42">
        <f>'CS-FG'!J94</f>
        <v>21120</v>
      </c>
      <c r="K30" s="42">
        <f>'CS-FG'!K94</f>
        <v>22180</v>
      </c>
      <c r="L30" s="42">
        <f>'CS-FG'!L94</f>
        <v>23290</v>
      </c>
    </row>
    <row r="31" spans="1:12" x14ac:dyDescent="0.25">
      <c r="A31" s="6"/>
      <c r="B31" s="26" t="s">
        <v>86</v>
      </c>
      <c r="C31" s="41">
        <f>C29*C30/100000</f>
        <v>1.65</v>
      </c>
      <c r="D31" s="41">
        <f t="shared" ref="D31:L31" si="8">D29*D30/100000</f>
        <v>2.0474999999999999</v>
      </c>
      <c r="E31" s="41">
        <f t="shared" si="8"/>
        <v>2.3155999999999999</v>
      </c>
      <c r="F31" s="41">
        <f t="shared" si="8"/>
        <v>2.7791999999999999</v>
      </c>
      <c r="G31" s="41">
        <f t="shared" si="8"/>
        <v>3.1008</v>
      </c>
      <c r="H31" s="41">
        <f t="shared" si="8"/>
        <v>3.4470000000000001</v>
      </c>
      <c r="I31" s="41">
        <f t="shared" si="8"/>
        <v>3.8209</v>
      </c>
      <c r="J31" s="41">
        <f t="shared" si="8"/>
        <v>4.2240000000000002</v>
      </c>
      <c r="K31" s="41">
        <f t="shared" si="8"/>
        <v>4.8795999999999999</v>
      </c>
      <c r="L31" s="41">
        <f t="shared" si="8"/>
        <v>5.3567</v>
      </c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298" t="s">
        <v>83</v>
      </c>
      <c r="B33" s="26" t="str">
        <f>'CS-FG'!B95</f>
        <v>Bhusa</v>
      </c>
      <c r="C33" s="36">
        <f>+'CS-FG'!C77</f>
        <v>22</v>
      </c>
      <c r="D33" s="36">
        <f>+'CS-FG'!D77</f>
        <v>25</v>
      </c>
      <c r="E33" s="36">
        <f>+'CS-FG'!E77</f>
        <v>27</v>
      </c>
      <c r="F33" s="36">
        <f>+'CS-FG'!F77</f>
        <v>29</v>
      </c>
      <c r="G33" s="36">
        <f>+'CS-FG'!G77</f>
        <v>32</v>
      </c>
      <c r="H33" s="36">
        <f>+'CS-FG'!H77</f>
        <v>34</v>
      </c>
      <c r="I33" s="36">
        <f>+'CS-FG'!I77</f>
        <v>35</v>
      </c>
      <c r="J33" s="36">
        <f>+'CS-FG'!J77</f>
        <v>38</v>
      </c>
      <c r="K33" s="36">
        <f>+'CS-FG'!K77</f>
        <v>41</v>
      </c>
      <c r="L33" s="36">
        <f>+'CS-FG'!L77</f>
        <v>43</v>
      </c>
    </row>
    <row r="34" spans="1:12" x14ac:dyDescent="0.25">
      <c r="A34" s="6"/>
      <c r="B34" s="36" t="s">
        <v>74</v>
      </c>
      <c r="C34" s="42">
        <f>'CS-FG'!C95</f>
        <v>15000</v>
      </c>
      <c r="D34" s="42">
        <f>'CS-FG'!D95</f>
        <v>15750</v>
      </c>
      <c r="E34" s="42">
        <f>'CS-FG'!E95</f>
        <v>16540</v>
      </c>
      <c r="F34" s="42">
        <f>'CS-FG'!F95</f>
        <v>17370</v>
      </c>
      <c r="G34" s="42">
        <f>'CS-FG'!G95</f>
        <v>18240</v>
      </c>
      <c r="H34" s="42">
        <f>'CS-FG'!H95</f>
        <v>19150</v>
      </c>
      <c r="I34" s="42">
        <f>'CS-FG'!I95</f>
        <v>20110</v>
      </c>
      <c r="J34" s="42">
        <f>'CS-FG'!J95</f>
        <v>21120</v>
      </c>
      <c r="K34" s="42">
        <f>'CS-FG'!K95</f>
        <v>22180</v>
      </c>
      <c r="L34" s="42">
        <f>'CS-FG'!L95</f>
        <v>23290</v>
      </c>
    </row>
    <row r="35" spans="1:12" x14ac:dyDescent="0.25">
      <c r="A35" s="6"/>
      <c r="B35" s="26" t="s">
        <v>86</v>
      </c>
      <c r="C35" s="41">
        <f>C33*C34/100000</f>
        <v>3.3</v>
      </c>
      <c r="D35" s="41">
        <f t="shared" ref="D35:L35" si="9">D33*D34/100000</f>
        <v>3.9375</v>
      </c>
      <c r="E35" s="41">
        <f t="shared" si="9"/>
        <v>4.4657999999999998</v>
      </c>
      <c r="F35" s="41">
        <f t="shared" si="9"/>
        <v>5.0373000000000001</v>
      </c>
      <c r="G35" s="41">
        <f t="shared" si="9"/>
        <v>5.8368000000000002</v>
      </c>
      <c r="H35" s="41">
        <f t="shared" si="9"/>
        <v>6.5110000000000001</v>
      </c>
      <c r="I35" s="41">
        <f t="shared" si="9"/>
        <v>7.0385</v>
      </c>
      <c r="J35" s="41">
        <f t="shared" si="9"/>
        <v>8.0256000000000007</v>
      </c>
      <c r="K35" s="41">
        <f t="shared" si="9"/>
        <v>9.0937999999999999</v>
      </c>
      <c r="L35" s="41">
        <f t="shared" si="9"/>
        <v>10.014699999999999</v>
      </c>
    </row>
    <row r="36" spans="1:12" x14ac:dyDescent="0.25">
      <c r="A36" s="6"/>
      <c r="B36" s="26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x14ac:dyDescent="0.25">
      <c r="A37" s="298" t="s">
        <v>401</v>
      </c>
      <c r="B37" s="26" t="str">
        <f>'CS-FG'!B96</f>
        <v>Powder</v>
      </c>
      <c r="C37" s="36">
        <f>'CS-FG'!C83</f>
        <v>0</v>
      </c>
      <c r="D37" s="36">
        <f>'CS-FG'!D83</f>
        <v>0</v>
      </c>
      <c r="E37" s="36">
        <f>'CS-FG'!E83</f>
        <v>0</v>
      </c>
      <c r="F37" s="36">
        <f>'CS-FG'!F83</f>
        <v>0</v>
      </c>
      <c r="G37" s="36">
        <f>'CS-FG'!G83</f>
        <v>0</v>
      </c>
      <c r="H37" s="36">
        <f>'CS-FG'!H83</f>
        <v>0</v>
      </c>
      <c r="I37" s="36">
        <f>'CS-FG'!I83</f>
        <v>0</v>
      </c>
      <c r="J37" s="36">
        <f>'CS-FG'!J83</f>
        <v>0</v>
      </c>
      <c r="K37" s="36">
        <f>'CS-FG'!K83</f>
        <v>0</v>
      </c>
      <c r="L37" s="36">
        <f>'CS-FG'!L83</f>
        <v>0</v>
      </c>
    </row>
    <row r="38" spans="1:12" x14ac:dyDescent="0.25">
      <c r="A38" s="6"/>
      <c r="B38" s="36" t="s">
        <v>74</v>
      </c>
      <c r="C38" s="42">
        <f>'CS-FG'!C96</f>
        <v>15000</v>
      </c>
      <c r="D38" s="42">
        <f>'CS-FG'!D96</f>
        <v>15750</v>
      </c>
      <c r="E38" s="42">
        <f>'CS-FG'!E96</f>
        <v>16540</v>
      </c>
      <c r="F38" s="42">
        <f>'CS-FG'!F96</f>
        <v>17370</v>
      </c>
      <c r="G38" s="42">
        <f>'CS-FG'!G96</f>
        <v>18240</v>
      </c>
      <c r="H38" s="42">
        <f>'CS-FG'!H96</f>
        <v>19150</v>
      </c>
      <c r="I38" s="42">
        <f>'CS-FG'!I96</f>
        <v>20110</v>
      </c>
      <c r="J38" s="42">
        <f>'CS-FG'!J96</f>
        <v>21120</v>
      </c>
      <c r="K38" s="42">
        <f>'CS-FG'!K96</f>
        <v>22180</v>
      </c>
      <c r="L38" s="42">
        <f>'CS-FG'!L96</f>
        <v>23290</v>
      </c>
    </row>
    <row r="39" spans="1:12" x14ac:dyDescent="0.25">
      <c r="A39" s="6"/>
      <c r="B39" s="26" t="s">
        <v>86</v>
      </c>
      <c r="C39" s="41">
        <f>C37*C38/100000</f>
        <v>0</v>
      </c>
      <c r="D39" s="41">
        <f t="shared" ref="D39:L39" si="10">D37*D38/100000</f>
        <v>0</v>
      </c>
      <c r="E39" s="41">
        <f t="shared" si="10"/>
        <v>0</v>
      </c>
      <c r="F39" s="41">
        <f t="shared" si="10"/>
        <v>0</v>
      </c>
      <c r="G39" s="41">
        <f t="shared" si="10"/>
        <v>0</v>
      </c>
      <c r="H39" s="41">
        <f t="shared" si="10"/>
        <v>0</v>
      </c>
      <c r="I39" s="41">
        <f t="shared" si="10"/>
        <v>0</v>
      </c>
      <c r="J39" s="41">
        <f t="shared" si="10"/>
        <v>0</v>
      </c>
      <c r="K39" s="41">
        <f t="shared" si="10"/>
        <v>0</v>
      </c>
      <c r="L39" s="41">
        <f t="shared" si="10"/>
        <v>0</v>
      </c>
    </row>
    <row r="40" spans="1:12" x14ac:dyDescent="0.25">
      <c r="A40" s="6"/>
      <c r="B40" s="6"/>
      <c r="C40" s="332"/>
      <c r="D40" s="332"/>
      <c r="E40" s="332"/>
      <c r="F40" s="332"/>
      <c r="G40" s="332"/>
      <c r="H40" s="332"/>
      <c r="I40" s="332"/>
      <c r="J40" s="6"/>
      <c r="K40" s="6"/>
      <c r="L40" s="6"/>
    </row>
    <row r="41" spans="1:12" hidden="1" x14ac:dyDescent="0.25">
      <c r="A41" s="298" t="s">
        <v>402</v>
      </c>
      <c r="B41" s="26" t="str">
        <f>'CS-FG'!B97</f>
        <v>Waste</v>
      </c>
      <c r="C41" s="73">
        <f>+'CS-FG'!C89</f>
        <v>3</v>
      </c>
      <c r="D41" s="73">
        <f>+'CS-FG'!D89</f>
        <v>3</v>
      </c>
      <c r="E41" s="73">
        <f>+'CS-FG'!E89</f>
        <v>4</v>
      </c>
      <c r="F41" s="73">
        <f>+'CS-FG'!F89</f>
        <v>4</v>
      </c>
      <c r="G41" s="73">
        <f>+'CS-FG'!G89</f>
        <v>4</v>
      </c>
      <c r="H41" s="73">
        <f>+'CS-FG'!H89</f>
        <v>5</v>
      </c>
      <c r="I41" s="73">
        <f>+'CS-FG'!I89</f>
        <v>5</v>
      </c>
      <c r="J41" s="73">
        <f>+'CS-FG'!J89</f>
        <v>5</v>
      </c>
      <c r="K41" s="73">
        <f>+'CS-FG'!K89</f>
        <v>5</v>
      </c>
      <c r="L41" s="73">
        <f>+'CS-FG'!L89</f>
        <v>6</v>
      </c>
    </row>
    <row r="42" spans="1:12" hidden="1" x14ac:dyDescent="0.25">
      <c r="A42" s="6"/>
      <c r="B42" s="36" t="s">
        <v>74</v>
      </c>
      <c r="C42" s="42">
        <f>+'CS-FG'!C97</f>
        <v>0</v>
      </c>
      <c r="D42" s="42">
        <f>+'CS-FG'!D97</f>
        <v>0</v>
      </c>
      <c r="E42" s="42">
        <f>+'CS-FG'!E97</f>
        <v>0</v>
      </c>
      <c r="F42" s="42">
        <f>+'CS-FG'!F97</f>
        <v>0</v>
      </c>
      <c r="G42" s="42">
        <f>+'CS-FG'!G97</f>
        <v>0</v>
      </c>
      <c r="H42" s="42">
        <f>+'CS-FG'!H97</f>
        <v>0</v>
      </c>
      <c r="I42" s="42">
        <f>+'CS-FG'!I97</f>
        <v>0</v>
      </c>
      <c r="J42" s="42">
        <f>+'CS-FG'!J97</f>
        <v>0</v>
      </c>
      <c r="K42" s="42">
        <f>+'CS-FG'!K97</f>
        <v>0</v>
      </c>
      <c r="L42" s="42">
        <f>+'CS-FG'!L97</f>
        <v>0</v>
      </c>
    </row>
    <row r="43" spans="1:12" hidden="1" x14ac:dyDescent="0.25">
      <c r="A43" s="6"/>
      <c r="B43" s="26" t="s">
        <v>86</v>
      </c>
      <c r="C43" s="41">
        <f>C41*C42/100000</f>
        <v>0</v>
      </c>
      <c r="D43" s="41">
        <f t="shared" ref="D43:L43" si="11">D41*D42/100000</f>
        <v>0</v>
      </c>
      <c r="E43" s="41">
        <f t="shared" si="11"/>
        <v>0</v>
      </c>
      <c r="F43" s="41">
        <f t="shared" si="11"/>
        <v>0</v>
      </c>
      <c r="G43" s="41">
        <f t="shared" si="11"/>
        <v>0</v>
      </c>
      <c r="H43" s="41">
        <f t="shared" si="11"/>
        <v>0</v>
      </c>
      <c r="I43" s="41">
        <f t="shared" si="11"/>
        <v>0</v>
      </c>
      <c r="J43" s="41">
        <f t="shared" si="11"/>
        <v>0</v>
      </c>
      <c r="K43" s="41">
        <f t="shared" si="11"/>
        <v>0</v>
      </c>
      <c r="L43" s="41">
        <f t="shared" si="11"/>
        <v>0</v>
      </c>
    </row>
    <row r="44" spans="1:12" x14ac:dyDescent="0.25">
      <c r="A44" s="6"/>
      <c r="B44" s="6"/>
      <c r="C44" s="332"/>
      <c r="D44" s="332"/>
      <c r="E44" s="332"/>
      <c r="F44" s="332"/>
      <c r="G44" s="332"/>
      <c r="H44" s="332"/>
      <c r="I44" s="332"/>
      <c r="J44" s="6"/>
      <c r="K44" s="6"/>
      <c r="L44" s="6"/>
    </row>
    <row r="45" spans="1:12" x14ac:dyDescent="0.25">
      <c r="A45" s="6"/>
      <c r="B45" s="8" t="s">
        <v>87</v>
      </c>
      <c r="C45" s="11">
        <f>C14+C10+C6+C18+C27+C31+C35+C39+C22+C43</f>
        <v>235.60000000000002</v>
      </c>
      <c r="D45" s="11">
        <f t="shared" ref="D45:L45" si="12">D14+D10+D6+D18+D27+D31+D35+D39+D22+D43</f>
        <v>283.60500000000002</v>
      </c>
      <c r="E45" s="11">
        <f t="shared" si="12"/>
        <v>323.63500000000005</v>
      </c>
      <c r="F45" s="11">
        <f t="shared" si="12"/>
        <v>370.50260000000003</v>
      </c>
      <c r="G45" s="11">
        <f t="shared" si="12"/>
        <v>417.41210000000001</v>
      </c>
      <c r="H45" s="11">
        <f t="shared" si="12"/>
        <v>469.49740000000003</v>
      </c>
      <c r="I45" s="11">
        <f t="shared" si="12"/>
        <v>526.47760000000005</v>
      </c>
      <c r="J45" s="11">
        <f t="shared" si="12"/>
        <v>586.79810000000009</v>
      </c>
      <c r="K45" s="11">
        <f t="shared" si="12"/>
        <v>653.08349999999996</v>
      </c>
      <c r="L45" s="11">
        <f t="shared" si="12"/>
        <v>723.98489999999993</v>
      </c>
    </row>
  </sheetData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G10" sqref="G10:M10"/>
    </sheetView>
  </sheetViews>
  <sheetFormatPr defaultColWidth="9.140625" defaultRowHeight="15" x14ac:dyDescent="0.25"/>
  <cols>
    <col min="1" max="1" width="24.5703125" style="5" bestFit="1" customWidth="1"/>
    <col min="2" max="2" width="6.28515625" style="5" customWidth="1"/>
    <col min="3" max="3" width="10.85546875" style="5" bestFit="1" customWidth="1"/>
    <col min="4" max="4" width="12" style="5" hidden="1" customWidth="1"/>
    <col min="5" max="5" width="11.42578125" style="5" bestFit="1" customWidth="1"/>
    <col min="6" max="6" width="12" style="5" customWidth="1"/>
    <col min="7" max="16384" width="9.140625" style="5"/>
  </cols>
  <sheetData>
    <row r="2" spans="1:13" ht="45" customHeight="1" x14ac:dyDescent="0.25">
      <c r="A2" s="166" t="s">
        <v>407</v>
      </c>
      <c r="B2" s="167" t="s">
        <v>408</v>
      </c>
      <c r="C2" s="168" t="s">
        <v>409</v>
      </c>
      <c r="D2" s="352" t="s">
        <v>410</v>
      </c>
      <c r="E2" s="352" t="s">
        <v>411</v>
      </c>
      <c r="F2" s="352" t="s">
        <v>412</v>
      </c>
      <c r="G2" s="354" t="s">
        <v>413</v>
      </c>
      <c r="H2" s="355"/>
      <c r="I2" s="355"/>
      <c r="J2" s="355"/>
      <c r="K2" s="355"/>
      <c r="L2" s="355"/>
      <c r="M2" s="356"/>
    </row>
    <row r="3" spans="1:13" x14ac:dyDescent="0.25">
      <c r="A3" s="169" t="s">
        <v>414</v>
      </c>
      <c r="B3" s="169"/>
      <c r="C3" s="170" t="s">
        <v>415</v>
      </c>
      <c r="D3" s="353"/>
      <c r="E3" s="353"/>
      <c r="F3" s="353"/>
      <c r="G3" s="171" t="s">
        <v>36</v>
      </c>
      <c r="H3" s="171" t="s">
        <v>37</v>
      </c>
      <c r="I3" s="171" t="s">
        <v>38</v>
      </c>
      <c r="J3" s="171" t="s">
        <v>39</v>
      </c>
      <c r="K3" s="171" t="s">
        <v>40</v>
      </c>
      <c r="L3" s="171" t="s">
        <v>41</v>
      </c>
      <c r="M3" s="171" t="s">
        <v>42</v>
      </c>
    </row>
    <row r="4" spans="1:13" x14ac:dyDescent="0.25">
      <c r="A4" s="161" t="s">
        <v>416</v>
      </c>
      <c r="B4" s="10"/>
      <c r="C4" s="10"/>
      <c r="D4" s="10"/>
      <c r="E4" s="10"/>
      <c r="F4" s="10"/>
      <c r="G4" s="162">
        <v>0.4</v>
      </c>
      <c r="H4" s="163">
        <v>0.5</v>
      </c>
      <c r="I4" s="163">
        <f t="shared" ref="I4:K4" si="0">+H4+5%</f>
        <v>0.55000000000000004</v>
      </c>
      <c r="J4" s="163">
        <f t="shared" si="0"/>
        <v>0.60000000000000009</v>
      </c>
      <c r="K4" s="163">
        <f t="shared" si="0"/>
        <v>0.65000000000000013</v>
      </c>
      <c r="L4" s="163">
        <f>+K4</f>
        <v>0.65000000000000013</v>
      </c>
      <c r="M4" s="163">
        <f>+L4</f>
        <v>0.65000000000000013</v>
      </c>
    </row>
    <row r="5" spans="1:13" x14ac:dyDescent="0.25">
      <c r="A5" s="10" t="s">
        <v>462</v>
      </c>
      <c r="B5" s="10">
        <v>1</v>
      </c>
      <c r="C5" s="10">
        <v>700</v>
      </c>
      <c r="D5" s="10"/>
      <c r="E5" s="10">
        <v>1500</v>
      </c>
      <c r="F5" s="10" t="s">
        <v>417</v>
      </c>
      <c r="G5" s="10">
        <f>(($B$5*$C$5*$E$5)/100000)*G4</f>
        <v>4.2</v>
      </c>
      <c r="H5" s="10">
        <f t="shared" ref="H5:M5" si="1">(($B$5*$C$5*$E$5)/100000)*H4</f>
        <v>5.25</v>
      </c>
      <c r="I5" s="10">
        <f t="shared" si="1"/>
        <v>5.7750000000000004</v>
      </c>
      <c r="J5" s="10">
        <f t="shared" si="1"/>
        <v>6.3000000000000007</v>
      </c>
      <c r="K5" s="10">
        <f t="shared" si="1"/>
        <v>6.8250000000000011</v>
      </c>
      <c r="L5" s="10">
        <f t="shared" si="1"/>
        <v>6.8250000000000011</v>
      </c>
      <c r="M5" s="10">
        <f t="shared" si="1"/>
        <v>6.8250000000000011</v>
      </c>
    </row>
    <row r="6" spans="1:13" x14ac:dyDescent="0.25">
      <c r="A6" s="10" t="s">
        <v>463</v>
      </c>
      <c r="B6" s="10">
        <v>2</v>
      </c>
      <c r="C6" s="10">
        <v>350</v>
      </c>
      <c r="D6" s="10"/>
      <c r="E6" s="10">
        <v>1000</v>
      </c>
      <c r="F6" s="10" t="s">
        <v>417</v>
      </c>
      <c r="G6" s="10">
        <f>(($B$6*$C$6*$E$6)/100000)*G4</f>
        <v>2.8000000000000003</v>
      </c>
      <c r="H6" s="10">
        <f t="shared" ref="H6:M6" si="2">(($B$6*$C$6*$E$6)/100000)*H4</f>
        <v>3.5</v>
      </c>
      <c r="I6" s="10">
        <f t="shared" si="2"/>
        <v>3.8500000000000005</v>
      </c>
      <c r="J6" s="10">
        <f t="shared" si="2"/>
        <v>4.2000000000000011</v>
      </c>
      <c r="K6" s="10">
        <f t="shared" si="2"/>
        <v>4.5500000000000007</v>
      </c>
      <c r="L6" s="10">
        <f t="shared" si="2"/>
        <v>4.5500000000000007</v>
      </c>
      <c r="M6" s="10">
        <f t="shared" si="2"/>
        <v>4.5500000000000007</v>
      </c>
    </row>
    <row r="7" spans="1:13" hidden="1" x14ac:dyDescent="0.25">
      <c r="A7" s="10" t="s">
        <v>418</v>
      </c>
      <c r="B7" s="10"/>
      <c r="C7" s="10"/>
      <c r="D7" s="10"/>
      <c r="E7" s="10"/>
      <c r="F7" s="10" t="s">
        <v>419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1:13" hidden="1" x14ac:dyDescent="0.25">
      <c r="A8" s="10" t="s">
        <v>420</v>
      </c>
      <c r="B8" s="10"/>
      <c r="C8" s="10"/>
      <c r="D8" s="10"/>
      <c r="E8" s="10"/>
      <c r="F8" s="10" t="s">
        <v>421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hidden="1" x14ac:dyDescent="0.25">
      <c r="A9" s="10" t="s">
        <v>422</v>
      </c>
      <c r="B9" s="10"/>
      <c r="C9" s="10"/>
      <c r="D9" s="10"/>
      <c r="E9" s="10"/>
      <c r="F9" s="10" t="s">
        <v>421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 x14ac:dyDescent="0.25">
      <c r="A10" s="83" t="s">
        <v>321</v>
      </c>
      <c r="B10" s="83"/>
      <c r="C10" s="83"/>
      <c r="D10" s="83"/>
      <c r="E10" s="83"/>
      <c r="F10" s="83"/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</row>
    <row r="19" spans="4:4" x14ac:dyDescent="0.25">
      <c r="D19" s="165"/>
    </row>
  </sheetData>
  <mergeCells count="4">
    <mergeCell ref="D2:D3"/>
    <mergeCell ref="E2:E3"/>
    <mergeCell ref="F2:F3"/>
    <mergeCell ref="G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4" sqref="B4"/>
    </sheetView>
  </sheetViews>
  <sheetFormatPr defaultRowHeight="15" x14ac:dyDescent="0.25"/>
  <cols>
    <col min="1" max="1" width="24" customWidth="1"/>
  </cols>
  <sheetData>
    <row r="1" spans="1:13" x14ac:dyDescent="0.25">
      <c r="A1" s="61" t="s">
        <v>1</v>
      </c>
      <c r="B1" s="71" t="s">
        <v>36</v>
      </c>
      <c r="C1" s="71" t="s">
        <v>37</v>
      </c>
      <c r="D1" s="71" t="s">
        <v>38</v>
      </c>
      <c r="E1" s="71" t="s">
        <v>39</v>
      </c>
      <c r="F1" s="71" t="s">
        <v>40</v>
      </c>
      <c r="G1" s="71" t="s">
        <v>41</v>
      </c>
      <c r="H1" s="71" t="s">
        <v>42</v>
      </c>
    </row>
    <row r="2" spans="1:13" x14ac:dyDescent="0.25">
      <c r="A2" s="55"/>
      <c r="B2" s="51"/>
      <c r="C2" s="51"/>
      <c r="D2" s="51"/>
      <c r="E2" s="51"/>
      <c r="F2" s="51"/>
      <c r="G2" s="51"/>
      <c r="H2" s="51"/>
    </row>
    <row r="3" spans="1:13" s="53" customFormat="1" ht="64.5" x14ac:dyDescent="0.25">
      <c r="A3" s="51" t="s">
        <v>406</v>
      </c>
      <c r="B3" s="52">
        <v>0</v>
      </c>
      <c r="C3" s="52">
        <f>B3*1.05</f>
        <v>0</v>
      </c>
      <c r="D3" s="52">
        <f>C3*1.05</f>
        <v>0</v>
      </c>
      <c r="E3" s="52">
        <f t="shared" ref="E3:H3" si="0">D3*1.05</f>
        <v>0</v>
      </c>
      <c r="F3" s="52">
        <f t="shared" si="0"/>
        <v>0</v>
      </c>
      <c r="G3" s="52">
        <f t="shared" si="0"/>
        <v>0</v>
      </c>
      <c r="H3" s="52">
        <f t="shared" si="0"/>
        <v>0</v>
      </c>
      <c r="I3"/>
      <c r="K3" s="68"/>
      <c r="L3" s="68"/>
      <c r="M3" s="68"/>
    </row>
    <row r="5" spans="1:13" x14ac:dyDescent="0.25">
      <c r="A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A3" zoomScaleNormal="100" zoomScaleSheetLayoutView="100" workbookViewId="0">
      <selection activeCell="F5" sqref="F5"/>
    </sheetView>
  </sheetViews>
  <sheetFormatPr defaultRowHeight="15" x14ac:dyDescent="0.25"/>
  <cols>
    <col min="1" max="1" width="10.140625" bestFit="1" customWidth="1"/>
    <col min="2" max="2" width="34.7109375" bestFit="1" customWidth="1"/>
    <col min="3" max="3" width="8" bestFit="1" customWidth="1"/>
    <col min="4" max="4" width="4.140625" bestFit="1" customWidth="1"/>
    <col min="5" max="5" width="5.85546875" bestFit="1" customWidth="1"/>
    <col min="6" max="6" width="11.85546875" bestFit="1" customWidth="1"/>
    <col min="7" max="7" width="9.42578125" bestFit="1" customWidth="1"/>
    <col min="8" max="10" width="4.140625" bestFit="1" customWidth="1"/>
    <col min="11" max="11" width="4.85546875" bestFit="1" customWidth="1"/>
  </cols>
  <sheetData>
    <row r="1" spans="1:7" x14ac:dyDescent="0.25">
      <c r="A1" s="357" t="s">
        <v>88</v>
      </c>
      <c r="B1" s="357"/>
      <c r="C1" s="357"/>
      <c r="D1" s="357"/>
      <c r="E1" s="357"/>
      <c r="F1" s="357"/>
      <c r="G1" s="357"/>
    </row>
    <row r="2" spans="1:7" ht="26.25" x14ac:dyDescent="0.25">
      <c r="A2" s="47" t="s">
        <v>89</v>
      </c>
      <c r="B2" s="47" t="s">
        <v>1</v>
      </c>
      <c r="C2" s="48" t="s">
        <v>90</v>
      </c>
      <c r="D2" s="48"/>
      <c r="E2" s="48" t="s">
        <v>91</v>
      </c>
      <c r="F2" s="49" t="s">
        <v>92</v>
      </c>
      <c r="G2" s="49" t="s">
        <v>93</v>
      </c>
    </row>
    <row r="3" spans="1:7" x14ac:dyDescent="0.25">
      <c r="A3" s="50">
        <v>1</v>
      </c>
      <c r="B3" s="51" t="s">
        <v>94</v>
      </c>
      <c r="C3" s="50" t="s">
        <v>95</v>
      </c>
      <c r="D3" s="50" t="s">
        <v>557</v>
      </c>
      <c r="E3" s="50">
        <v>0</v>
      </c>
      <c r="F3" s="52">
        <v>40000</v>
      </c>
      <c r="G3" s="52">
        <f t="shared" ref="G3:G9" si="0">E3*F3*12/100000</f>
        <v>0</v>
      </c>
    </row>
    <row r="4" spans="1:7" x14ac:dyDescent="0.25">
      <c r="A4" s="50">
        <v>2</v>
      </c>
      <c r="B4" s="51" t="s">
        <v>96</v>
      </c>
      <c r="C4" s="50" t="s">
        <v>95</v>
      </c>
      <c r="D4" s="50" t="s">
        <v>403</v>
      </c>
      <c r="E4" s="50">
        <v>0</v>
      </c>
      <c r="F4" s="52">
        <v>18000</v>
      </c>
      <c r="G4" s="52">
        <f t="shared" si="0"/>
        <v>0</v>
      </c>
    </row>
    <row r="5" spans="1:7" x14ac:dyDescent="0.25">
      <c r="A5" s="50">
        <v>3</v>
      </c>
      <c r="B5" s="51" t="s">
        <v>97</v>
      </c>
      <c r="C5" s="50" t="s">
        <v>95</v>
      </c>
      <c r="D5" s="50" t="s">
        <v>403</v>
      </c>
      <c r="E5" s="50">
        <v>0</v>
      </c>
      <c r="F5" s="52">
        <v>18000</v>
      </c>
      <c r="G5" s="52">
        <f t="shared" si="0"/>
        <v>0</v>
      </c>
    </row>
    <row r="6" spans="1:7" x14ac:dyDescent="0.25">
      <c r="A6" s="50">
        <v>4</v>
      </c>
      <c r="B6" s="53" t="s">
        <v>98</v>
      </c>
      <c r="C6" s="50" t="s">
        <v>95</v>
      </c>
      <c r="D6" s="50" t="s">
        <v>557</v>
      </c>
      <c r="E6" s="50">
        <v>2</v>
      </c>
      <c r="F6" s="52">
        <v>9000</v>
      </c>
      <c r="G6" s="52">
        <f t="shared" si="0"/>
        <v>2.16</v>
      </c>
    </row>
    <row r="7" spans="1:7" x14ac:dyDescent="0.25">
      <c r="A7" s="50">
        <v>5</v>
      </c>
      <c r="B7" s="51" t="s">
        <v>99</v>
      </c>
      <c r="C7" s="50" t="s">
        <v>95</v>
      </c>
      <c r="D7" s="50" t="s">
        <v>557</v>
      </c>
      <c r="E7" s="50">
        <v>1</v>
      </c>
      <c r="F7" s="52">
        <v>8000</v>
      </c>
      <c r="G7" s="52">
        <f t="shared" si="0"/>
        <v>0.96</v>
      </c>
    </row>
    <row r="8" spans="1:7" x14ac:dyDescent="0.25">
      <c r="A8" s="50">
        <v>6</v>
      </c>
      <c r="B8" s="51" t="s">
        <v>100</v>
      </c>
      <c r="C8" s="50" t="s">
        <v>95</v>
      </c>
      <c r="D8" s="50" t="s">
        <v>403</v>
      </c>
      <c r="E8" s="50">
        <v>0</v>
      </c>
      <c r="F8" s="52">
        <v>8000</v>
      </c>
      <c r="G8" s="52">
        <f t="shared" si="0"/>
        <v>0</v>
      </c>
    </row>
    <row r="9" spans="1:7" x14ac:dyDescent="0.25">
      <c r="A9" s="50">
        <v>7</v>
      </c>
      <c r="B9" s="51" t="s">
        <v>101</v>
      </c>
      <c r="C9" s="50" t="s">
        <v>95</v>
      </c>
      <c r="D9" s="50" t="s">
        <v>557</v>
      </c>
      <c r="E9" s="50">
        <v>1</v>
      </c>
      <c r="F9" s="52">
        <v>6000</v>
      </c>
      <c r="G9" s="52">
        <f t="shared" si="0"/>
        <v>0.72</v>
      </c>
    </row>
    <row r="10" spans="1:7" x14ac:dyDescent="0.25">
      <c r="A10" s="50"/>
      <c r="B10" s="51"/>
      <c r="C10" s="50"/>
      <c r="D10" s="50"/>
      <c r="E10" s="50"/>
      <c r="F10" s="52"/>
      <c r="G10" s="52"/>
    </row>
    <row r="11" spans="1:7" x14ac:dyDescent="0.25">
      <c r="A11" s="50">
        <v>8</v>
      </c>
      <c r="B11" s="51" t="s">
        <v>156</v>
      </c>
      <c r="C11" s="50" t="s">
        <v>102</v>
      </c>
      <c r="D11" s="50" t="s">
        <v>557</v>
      </c>
      <c r="E11" s="50">
        <v>1</v>
      </c>
      <c r="F11" s="52">
        <v>16000</v>
      </c>
      <c r="G11" s="52">
        <f t="shared" ref="G11:G17" si="1">E11*F11*12/100000</f>
        <v>1.92</v>
      </c>
    </row>
    <row r="12" spans="1:7" x14ac:dyDescent="0.25">
      <c r="A12" s="50">
        <v>9</v>
      </c>
      <c r="B12" s="51" t="s">
        <v>103</v>
      </c>
      <c r="C12" s="50" t="s">
        <v>102</v>
      </c>
      <c r="D12" s="50" t="s">
        <v>557</v>
      </c>
      <c r="E12" s="50">
        <v>0</v>
      </c>
      <c r="F12" s="52">
        <v>15000</v>
      </c>
      <c r="G12" s="52">
        <f t="shared" si="1"/>
        <v>0</v>
      </c>
    </row>
    <row r="13" spans="1:7" x14ac:dyDescent="0.25">
      <c r="A13" s="50">
        <v>10</v>
      </c>
      <c r="B13" s="51" t="s">
        <v>104</v>
      </c>
      <c r="C13" s="50" t="s">
        <v>102</v>
      </c>
      <c r="D13" s="50" t="s">
        <v>557</v>
      </c>
      <c r="E13" s="50">
        <v>1</v>
      </c>
      <c r="F13" s="52">
        <v>12000</v>
      </c>
      <c r="G13" s="52">
        <f t="shared" si="1"/>
        <v>1.44</v>
      </c>
    </row>
    <row r="14" spans="1:7" x14ac:dyDescent="0.25">
      <c r="A14" s="50">
        <v>11</v>
      </c>
      <c r="B14" s="51" t="s">
        <v>616</v>
      </c>
      <c r="C14" s="50" t="s">
        <v>102</v>
      </c>
      <c r="D14" s="50" t="s">
        <v>557</v>
      </c>
      <c r="E14" s="50">
        <v>0</v>
      </c>
      <c r="F14" s="52">
        <v>9000</v>
      </c>
      <c r="G14" s="52">
        <f t="shared" si="1"/>
        <v>0</v>
      </c>
    </row>
    <row r="15" spans="1:7" x14ac:dyDescent="0.25">
      <c r="A15" s="50">
        <v>12</v>
      </c>
      <c r="B15" s="51" t="s">
        <v>444</v>
      </c>
      <c r="C15" s="50" t="s">
        <v>102</v>
      </c>
      <c r="D15" s="50"/>
      <c r="E15" s="50">
        <v>0</v>
      </c>
      <c r="F15" s="52">
        <v>8000</v>
      </c>
      <c r="G15" s="52">
        <f t="shared" si="1"/>
        <v>0</v>
      </c>
    </row>
    <row r="16" spans="1:7" x14ac:dyDescent="0.25">
      <c r="A16" s="50">
        <v>13</v>
      </c>
      <c r="B16" s="54" t="s">
        <v>105</v>
      </c>
      <c r="C16" s="50" t="s">
        <v>102</v>
      </c>
      <c r="D16" s="50" t="s">
        <v>557</v>
      </c>
      <c r="E16" s="50">
        <v>1</v>
      </c>
      <c r="F16" s="52">
        <v>8000</v>
      </c>
      <c r="G16" s="52">
        <f t="shared" si="1"/>
        <v>0.96</v>
      </c>
    </row>
    <row r="17" spans="1:11" x14ac:dyDescent="0.25">
      <c r="A17" s="50">
        <v>14</v>
      </c>
      <c r="B17" s="54" t="s">
        <v>106</v>
      </c>
      <c r="C17" s="50" t="s">
        <v>102</v>
      </c>
      <c r="D17" s="50" t="s">
        <v>557</v>
      </c>
      <c r="E17" s="50">
        <v>0</v>
      </c>
      <c r="F17" s="52">
        <v>8000</v>
      </c>
      <c r="G17" s="52">
        <f t="shared" si="1"/>
        <v>0</v>
      </c>
    </row>
    <row r="18" spans="1:11" x14ac:dyDescent="0.25">
      <c r="A18" s="51"/>
      <c r="B18" s="55" t="s">
        <v>29</v>
      </c>
      <c r="C18" s="50"/>
      <c r="D18" s="50"/>
      <c r="E18" s="56">
        <f>SUM(E3:E17)</f>
        <v>7</v>
      </c>
      <c r="F18" s="57"/>
      <c r="G18" s="57">
        <f>SUM(G3:G17)</f>
        <v>8.16</v>
      </c>
    </row>
    <row r="19" spans="1:11" x14ac:dyDescent="0.25">
      <c r="A19" s="51"/>
      <c r="B19" s="51"/>
      <c r="C19" s="50"/>
      <c r="D19" s="50"/>
      <c r="E19" s="50"/>
      <c r="F19" s="52"/>
      <c r="G19" s="52"/>
    </row>
    <row r="20" spans="1:11" x14ac:dyDescent="0.25">
      <c r="A20" s="51"/>
      <c r="B20" s="55" t="s">
        <v>107</v>
      </c>
      <c r="C20" s="50" t="s">
        <v>102</v>
      </c>
      <c r="D20" s="50"/>
      <c r="E20" s="58">
        <v>6</v>
      </c>
      <c r="F20" s="59" t="s">
        <v>108</v>
      </c>
      <c r="G20" s="59" t="s">
        <v>36</v>
      </c>
    </row>
    <row r="22" spans="1:11" x14ac:dyDescent="0.25">
      <c r="A22" s="18"/>
      <c r="B22" s="18" t="s">
        <v>36</v>
      </c>
      <c r="C22" s="18" t="s">
        <v>37</v>
      </c>
      <c r="D22" s="18" t="s">
        <v>38</v>
      </c>
      <c r="E22" s="18" t="s">
        <v>39</v>
      </c>
      <c r="F22" s="18" t="s">
        <v>40</v>
      </c>
      <c r="G22" s="18" t="s">
        <v>41</v>
      </c>
      <c r="H22" s="18" t="s">
        <v>42</v>
      </c>
      <c r="I22" s="18" t="s">
        <v>495</v>
      </c>
      <c r="J22" s="18" t="s">
        <v>496</v>
      </c>
      <c r="K22" s="18" t="s">
        <v>497</v>
      </c>
    </row>
    <row r="23" spans="1:11" x14ac:dyDescent="0.25">
      <c r="A23" s="55" t="s">
        <v>107</v>
      </c>
      <c r="B23" s="18">
        <f>+E20</f>
        <v>6</v>
      </c>
      <c r="C23" s="18">
        <f>ROUND(B23*1.1,0)</f>
        <v>7</v>
      </c>
      <c r="D23" s="18">
        <f t="shared" ref="D23:H23" si="2">ROUND(C23*1.1,0)</f>
        <v>8</v>
      </c>
      <c r="E23" s="18">
        <f t="shared" si="2"/>
        <v>9</v>
      </c>
      <c r="F23" s="18">
        <f t="shared" si="2"/>
        <v>10</v>
      </c>
      <c r="G23" s="18">
        <f t="shared" si="2"/>
        <v>11</v>
      </c>
      <c r="H23" s="18">
        <f t="shared" si="2"/>
        <v>12</v>
      </c>
      <c r="I23" s="240">
        <f>H23</f>
        <v>12</v>
      </c>
      <c r="J23" s="240">
        <f t="shared" ref="J23:K23" si="3">I23</f>
        <v>12</v>
      </c>
      <c r="K23" s="240">
        <f t="shared" si="3"/>
        <v>12</v>
      </c>
    </row>
    <row r="24" spans="1:11" x14ac:dyDescent="0.25">
      <c r="B24" s="1"/>
    </row>
  </sheetData>
  <mergeCells count="1">
    <mergeCell ref="A1:G1"/>
  </mergeCells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60" zoomScaleNormal="100" workbookViewId="0">
      <selection activeCell="C14" sqref="C14:L14"/>
    </sheetView>
  </sheetViews>
  <sheetFormatPr defaultRowHeight="15" x14ac:dyDescent="0.25"/>
  <cols>
    <col min="1" max="1" width="10.5703125" customWidth="1"/>
    <col min="2" max="2" width="33.42578125" bestFit="1" customWidth="1"/>
    <col min="3" max="3" width="9.42578125" bestFit="1" customWidth="1"/>
    <col min="4" max="4" width="9" bestFit="1" customWidth="1"/>
    <col min="5" max="8" width="9.42578125" bestFit="1" customWidth="1"/>
    <col min="9" max="10" width="9.85546875" bestFit="1" customWidth="1"/>
    <col min="11" max="12" width="9.42578125" bestFit="1" customWidth="1"/>
  </cols>
  <sheetData>
    <row r="1" spans="1:12" x14ac:dyDescent="0.25">
      <c r="A1" t="s">
        <v>617</v>
      </c>
    </row>
    <row r="3" spans="1:12" x14ac:dyDescent="0.25">
      <c r="A3" s="46" t="s">
        <v>76</v>
      </c>
      <c r="B3" s="15" t="s">
        <v>1</v>
      </c>
      <c r="C3" s="271" t="s">
        <v>36</v>
      </c>
      <c r="D3" s="271" t="s">
        <v>37</v>
      </c>
      <c r="E3" s="271" t="s">
        <v>38</v>
      </c>
      <c r="F3" s="271" t="s">
        <v>39</v>
      </c>
      <c r="G3" s="271" t="s">
        <v>40</v>
      </c>
      <c r="H3" s="271" t="s">
        <v>41</v>
      </c>
      <c r="I3" s="271" t="s">
        <v>42</v>
      </c>
      <c r="J3" s="271" t="s">
        <v>495</v>
      </c>
      <c r="K3" s="271" t="s">
        <v>496</v>
      </c>
      <c r="L3" s="271" t="s">
        <v>497</v>
      </c>
    </row>
    <row r="4" spans="1:12" x14ac:dyDescent="0.25">
      <c r="A4" s="270" t="s">
        <v>77</v>
      </c>
      <c r="B4" s="26" t="s">
        <v>618</v>
      </c>
      <c r="C4" s="36">
        <v>10</v>
      </c>
      <c r="D4" s="36">
        <f>+ROUND(C4*1.05,)</f>
        <v>11</v>
      </c>
      <c r="E4" s="36">
        <f t="shared" ref="E4:L4" si="0">+ROUND(D4*1.05,)</f>
        <v>12</v>
      </c>
      <c r="F4" s="36">
        <f t="shared" si="0"/>
        <v>13</v>
      </c>
      <c r="G4" s="36">
        <f t="shared" si="0"/>
        <v>14</v>
      </c>
      <c r="H4" s="36">
        <f t="shared" si="0"/>
        <v>15</v>
      </c>
      <c r="I4" s="36">
        <f t="shared" si="0"/>
        <v>16</v>
      </c>
      <c r="J4" s="36">
        <f t="shared" si="0"/>
        <v>17</v>
      </c>
      <c r="K4" s="36">
        <f t="shared" si="0"/>
        <v>18</v>
      </c>
      <c r="L4" s="36">
        <f t="shared" si="0"/>
        <v>19</v>
      </c>
    </row>
    <row r="5" spans="1:12" x14ac:dyDescent="0.25">
      <c r="A5" s="6"/>
      <c r="B5" s="36" t="s">
        <v>619</v>
      </c>
      <c r="C5" s="42">
        <f>+'Output Schedule'!B45</f>
        <v>150</v>
      </c>
      <c r="D5" s="42">
        <f>+'Output Schedule'!C45</f>
        <v>166</v>
      </c>
      <c r="E5" s="42">
        <f>+'Output Schedule'!D45</f>
        <v>180</v>
      </c>
      <c r="F5" s="42">
        <f>+'Output Schedule'!E45</f>
        <v>196</v>
      </c>
      <c r="G5" s="42">
        <f>+'Output Schedule'!F45</f>
        <v>210</v>
      </c>
      <c r="H5" s="42">
        <f>+'Output Schedule'!G45</f>
        <v>226</v>
      </c>
      <c r="I5" s="42">
        <f>+'Output Schedule'!H45</f>
        <v>240</v>
      </c>
      <c r="J5" s="42">
        <f>+'Output Schedule'!I45</f>
        <v>256</v>
      </c>
      <c r="K5" s="42">
        <f>+'Output Schedule'!J45</f>
        <v>270</v>
      </c>
      <c r="L5" s="42">
        <f>+'Output Schedule'!K45</f>
        <v>286</v>
      </c>
    </row>
    <row r="6" spans="1:12" x14ac:dyDescent="0.25">
      <c r="A6" s="6"/>
      <c r="B6" s="36" t="s">
        <v>623</v>
      </c>
      <c r="C6" s="42">
        <v>200</v>
      </c>
      <c r="D6" s="42">
        <f>+ROUND(C6*1.05,-1)</f>
        <v>210</v>
      </c>
      <c r="E6" s="42">
        <f t="shared" ref="E6:L6" si="1">+ROUND(D6*1.05,-1)</f>
        <v>220</v>
      </c>
      <c r="F6" s="42">
        <f t="shared" si="1"/>
        <v>230</v>
      </c>
      <c r="G6" s="42">
        <f t="shared" si="1"/>
        <v>240</v>
      </c>
      <c r="H6" s="42">
        <f t="shared" si="1"/>
        <v>250</v>
      </c>
      <c r="I6" s="42">
        <f t="shared" si="1"/>
        <v>260</v>
      </c>
      <c r="J6" s="42">
        <f t="shared" si="1"/>
        <v>270</v>
      </c>
      <c r="K6" s="42">
        <f t="shared" si="1"/>
        <v>280</v>
      </c>
      <c r="L6" s="42">
        <f t="shared" si="1"/>
        <v>290</v>
      </c>
    </row>
    <row r="7" spans="1:12" x14ac:dyDescent="0.25">
      <c r="A7" s="6"/>
      <c r="B7" s="26" t="s">
        <v>320</v>
      </c>
      <c r="C7" s="41">
        <f>+C4*C5*C6/100000</f>
        <v>3</v>
      </c>
      <c r="D7" s="41">
        <f t="shared" ref="D7:L7" si="2">+D4*D5*D6/100000</f>
        <v>3.8346</v>
      </c>
      <c r="E7" s="41">
        <f t="shared" si="2"/>
        <v>4.7519999999999998</v>
      </c>
      <c r="F7" s="41">
        <f t="shared" si="2"/>
        <v>5.8604000000000003</v>
      </c>
      <c r="G7" s="41">
        <f t="shared" si="2"/>
        <v>7.056</v>
      </c>
      <c r="H7" s="41">
        <f t="shared" si="2"/>
        <v>8.4749999999999996</v>
      </c>
      <c r="I7" s="41">
        <f t="shared" si="2"/>
        <v>9.984</v>
      </c>
      <c r="J7" s="41">
        <f t="shared" si="2"/>
        <v>11.750400000000001</v>
      </c>
      <c r="K7" s="41">
        <f t="shared" si="2"/>
        <v>13.608000000000001</v>
      </c>
      <c r="L7" s="41">
        <f t="shared" si="2"/>
        <v>15.758599999999999</v>
      </c>
    </row>
    <row r="8" spans="1:12" x14ac:dyDescent="0.25">
      <c r="A8" s="6"/>
      <c r="B8" s="26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x14ac:dyDescent="0.25">
      <c r="A9" s="270" t="s">
        <v>82</v>
      </c>
      <c r="B9" s="26" t="s">
        <v>620</v>
      </c>
      <c r="C9" s="36">
        <v>10</v>
      </c>
      <c r="D9" s="36">
        <f>+ROUND(C9*1.05,)</f>
        <v>11</v>
      </c>
      <c r="E9" s="36">
        <f t="shared" ref="E9:L9" si="3">+ROUND(D9*1.05,)</f>
        <v>12</v>
      </c>
      <c r="F9" s="36">
        <f t="shared" si="3"/>
        <v>13</v>
      </c>
      <c r="G9" s="36">
        <f t="shared" si="3"/>
        <v>14</v>
      </c>
      <c r="H9" s="36">
        <f t="shared" si="3"/>
        <v>15</v>
      </c>
      <c r="I9" s="36">
        <f t="shared" si="3"/>
        <v>16</v>
      </c>
      <c r="J9" s="36">
        <f t="shared" si="3"/>
        <v>17</v>
      </c>
      <c r="K9" s="36">
        <f t="shared" si="3"/>
        <v>18</v>
      </c>
      <c r="L9" s="36">
        <f t="shared" si="3"/>
        <v>19</v>
      </c>
    </row>
    <row r="10" spans="1:12" x14ac:dyDescent="0.25">
      <c r="A10" s="6"/>
      <c r="B10" s="36" t="s">
        <v>619</v>
      </c>
      <c r="C10" s="42">
        <f>+C5</f>
        <v>150</v>
      </c>
      <c r="D10" s="42">
        <f t="shared" ref="D10:L10" si="4">+D5</f>
        <v>166</v>
      </c>
      <c r="E10" s="42">
        <f t="shared" si="4"/>
        <v>180</v>
      </c>
      <c r="F10" s="42">
        <f t="shared" si="4"/>
        <v>196</v>
      </c>
      <c r="G10" s="42">
        <f t="shared" si="4"/>
        <v>210</v>
      </c>
      <c r="H10" s="42">
        <f t="shared" si="4"/>
        <v>226</v>
      </c>
      <c r="I10" s="42">
        <f t="shared" si="4"/>
        <v>240</v>
      </c>
      <c r="J10" s="42">
        <f t="shared" si="4"/>
        <v>256</v>
      </c>
      <c r="K10" s="42">
        <f t="shared" si="4"/>
        <v>270</v>
      </c>
      <c r="L10" s="42">
        <f t="shared" si="4"/>
        <v>286</v>
      </c>
    </row>
    <row r="11" spans="1:12" x14ac:dyDescent="0.25">
      <c r="A11" s="6"/>
      <c r="B11" s="36" t="s">
        <v>623</v>
      </c>
      <c r="C11" s="42">
        <v>100</v>
      </c>
      <c r="D11" s="42">
        <f>+ROUND(C11*1.05,-1)</f>
        <v>110</v>
      </c>
      <c r="E11" s="42">
        <f t="shared" ref="E11:L11" si="5">+ROUND(D11*1.05,-1)</f>
        <v>120</v>
      </c>
      <c r="F11" s="42">
        <f t="shared" si="5"/>
        <v>130</v>
      </c>
      <c r="G11" s="42">
        <f t="shared" si="5"/>
        <v>140</v>
      </c>
      <c r="H11" s="42">
        <f t="shared" si="5"/>
        <v>150</v>
      </c>
      <c r="I11" s="42">
        <f t="shared" si="5"/>
        <v>160</v>
      </c>
      <c r="J11" s="42">
        <f t="shared" si="5"/>
        <v>170</v>
      </c>
      <c r="K11" s="42">
        <f t="shared" si="5"/>
        <v>180</v>
      </c>
      <c r="L11" s="42">
        <f t="shared" si="5"/>
        <v>190</v>
      </c>
    </row>
    <row r="12" spans="1:12" x14ac:dyDescent="0.25">
      <c r="A12" s="6"/>
      <c r="B12" s="26" t="s">
        <v>320</v>
      </c>
      <c r="C12" s="41">
        <f>+C9*C10*C11/100000</f>
        <v>1.5</v>
      </c>
      <c r="D12" s="41">
        <f t="shared" ref="D12" si="6">+D9*D10*D11/100000</f>
        <v>2.0085999999999999</v>
      </c>
      <c r="E12" s="41">
        <f t="shared" ref="E12" si="7">+E9*E10*E11/100000</f>
        <v>2.5920000000000001</v>
      </c>
      <c r="F12" s="41">
        <f t="shared" ref="F12" si="8">+F9*F10*F11/100000</f>
        <v>3.3123999999999998</v>
      </c>
      <c r="G12" s="41">
        <f t="shared" ref="G12" si="9">+G9*G10*G11/100000</f>
        <v>4.1159999999999997</v>
      </c>
      <c r="H12" s="41">
        <f t="shared" ref="H12" si="10">+H9*H10*H11/100000</f>
        <v>5.085</v>
      </c>
      <c r="I12" s="41">
        <f t="shared" ref="I12" si="11">+I9*I10*I11/100000</f>
        <v>6.1440000000000001</v>
      </c>
      <c r="J12" s="41">
        <f t="shared" ref="J12" si="12">+J9*J10*J11/100000</f>
        <v>7.3983999999999996</v>
      </c>
      <c r="K12" s="41">
        <f t="shared" ref="K12" si="13">+K9*K10*K11/100000</f>
        <v>8.7479999999999993</v>
      </c>
      <c r="L12" s="41">
        <f t="shared" ref="L12" si="14">+L9*L10*L11/100000</f>
        <v>10.3246</v>
      </c>
    </row>
    <row r="13" spans="1:12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5">
      <c r="A14" s="18"/>
      <c r="B14" s="281" t="s">
        <v>621</v>
      </c>
      <c r="C14" s="282"/>
      <c r="D14" s="282"/>
      <c r="E14" s="282"/>
      <c r="F14" s="282"/>
      <c r="G14" s="282"/>
      <c r="H14" s="282"/>
      <c r="I14" s="282"/>
      <c r="J14" s="282"/>
      <c r="K14" s="282"/>
      <c r="L14" s="282"/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view="pageBreakPreview" topLeftCell="A43" zoomScale="70" zoomScaleNormal="100" zoomScaleSheetLayoutView="70" workbookViewId="0">
      <selection activeCell="A2" sqref="A2:L43"/>
    </sheetView>
  </sheetViews>
  <sheetFormatPr defaultColWidth="10.42578125" defaultRowHeight="12.75" x14ac:dyDescent="0.2"/>
  <cols>
    <col min="1" max="1" width="21" style="53" customWidth="1"/>
    <col min="2" max="2" width="14.85546875" style="53" customWidth="1"/>
    <col min="3" max="3" width="10.42578125" style="53" bestFit="1" customWidth="1"/>
    <col min="4" max="4" width="9.140625" style="53" bestFit="1" customWidth="1"/>
    <col min="5" max="9" width="10.42578125" style="53" bestFit="1" customWidth="1"/>
    <col min="10" max="12" width="9.85546875" style="53" customWidth="1"/>
    <col min="13" max="13" width="12.5703125" style="53" bestFit="1" customWidth="1"/>
    <col min="14" max="14" width="13.140625" style="53" customWidth="1"/>
    <col min="15" max="15" width="14.140625" style="53" customWidth="1"/>
    <col min="16" max="16" width="4.42578125" style="53" bestFit="1" customWidth="1"/>
    <col min="17" max="17" width="9.85546875" style="53" bestFit="1" customWidth="1"/>
    <col min="18" max="26" width="9.42578125" style="53" customWidth="1"/>
    <col min="27" max="16384" width="10.42578125" style="53"/>
  </cols>
  <sheetData>
    <row r="2" spans="1:17" x14ac:dyDescent="0.2">
      <c r="A2" s="61" t="s">
        <v>1</v>
      </c>
      <c r="B2" s="61" t="s">
        <v>109</v>
      </c>
      <c r="C2" s="220" t="s">
        <v>36</v>
      </c>
      <c r="D2" s="220" t="s">
        <v>37</v>
      </c>
      <c r="E2" s="220" t="s">
        <v>38</v>
      </c>
      <c r="F2" s="220" t="s">
        <v>39</v>
      </c>
      <c r="G2" s="220" t="s">
        <v>40</v>
      </c>
      <c r="H2" s="220" t="s">
        <v>41</v>
      </c>
      <c r="I2" s="220" t="s">
        <v>42</v>
      </c>
      <c r="J2" s="220" t="s">
        <v>495</v>
      </c>
      <c r="K2" s="220" t="s">
        <v>496</v>
      </c>
      <c r="L2" s="220" t="s">
        <v>497</v>
      </c>
      <c r="N2" s="357" t="s">
        <v>110</v>
      </c>
      <c r="O2" s="357"/>
      <c r="P2" s="357"/>
      <c r="Q2" s="357"/>
    </row>
    <row r="3" spans="1:17" x14ac:dyDescent="0.2">
      <c r="A3" s="55"/>
      <c r="B3" s="55"/>
      <c r="C3" s="51"/>
      <c r="D3" s="51"/>
      <c r="E3" s="51"/>
      <c r="F3" s="51"/>
      <c r="G3" s="51"/>
      <c r="H3" s="51"/>
      <c r="I3" s="51"/>
      <c r="J3" s="51"/>
      <c r="K3" s="51"/>
      <c r="L3" s="51"/>
      <c r="N3" s="51">
        <v>5</v>
      </c>
      <c r="O3" s="51">
        <v>200</v>
      </c>
      <c r="P3" s="51">
        <v>12</v>
      </c>
      <c r="Q3" s="62">
        <f>N3*O3*P3</f>
        <v>12000</v>
      </c>
    </row>
    <row r="4" spans="1:17" x14ac:dyDescent="0.2">
      <c r="A4" s="358" t="s">
        <v>111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60"/>
      <c r="N4" s="51"/>
      <c r="O4" s="51"/>
      <c r="P4" s="51"/>
      <c r="Q4" s="62"/>
    </row>
    <row r="5" spans="1:17" x14ac:dyDescent="0.2">
      <c r="A5" s="62" t="s">
        <v>112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N5" s="51">
        <v>51</v>
      </c>
      <c r="O5" s="51">
        <v>200</v>
      </c>
      <c r="P5" s="51">
        <v>12</v>
      </c>
      <c r="Q5" s="51">
        <f>N5*O5*P5</f>
        <v>122400</v>
      </c>
    </row>
    <row r="6" spans="1:17" x14ac:dyDescent="0.2">
      <c r="A6" s="51" t="s">
        <v>113</v>
      </c>
      <c r="B6" s="51" t="s">
        <v>114</v>
      </c>
      <c r="C6" s="52">
        <f>2000*12/100000</f>
        <v>0.24</v>
      </c>
      <c r="D6" s="52">
        <f t="shared" ref="D6:I16" si="0">C6*1.05</f>
        <v>0.252</v>
      </c>
      <c r="E6" s="52">
        <f t="shared" si="0"/>
        <v>0.2646</v>
      </c>
      <c r="F6" s="52">
        <f t="shared" si="0"/>
        <v>0.27783000000000002</v>
      </c>
      <c r="G6" s="52">
        <f t="shared" si="0"/>
        <v>0.29172150000000002</v>
      </c>
      <c r="H6" s="52">
        <f t="shared" si="0"/>
        <v>0.30630757500000005</v>
      </c>
      <c r="I6" s="52">
        <f t="shared" si="0"/>
        <v>0.32162295375000005</v>
      </c>
      <c r="J6" s="52">
        <f t="shared" ref="J6:J16" si="1">I6*1.05</f>
        <v>0.33770410143750007</v>
      </c>
      <c r="K6" s="52">
        <f t="shared" ref="K6:K16" si="2">J6*1.05</f>
        <v>0.35458930650937509</v>
      </c>
      <c r="L6" s="52">
        <f t="shared" ref="L6:L16" si="3">K6*1.05</f>
        <v>0.37231877183484385</v>
      </c>
      <c r="M6" s="63"/>
      <c r="N6" s="358" t="s">
        <v>115</v>
      </c>
      <c r="O6" s="359"/>
      <c r="P6" s="359"/>
      <c r="Q6" s="360"/>
    </row>
    <row r="7" spans="1:17" x14ac:dyDescent="0.2">
      <c r="A7" s="51" t="s">
        <v>116</v>
      </c>
      <c r="B7" s="51" t="s">
        <v>599</v>
      </c>
      <c r="C7" s="52">
        <f>1000*12/100000</f>
        <v>0.12</v>
      </c>
      <c r="D7" s="52">
        <f t="shared" si="0"/>
        <v>0.126</v>
      </c>
      <c r="E7" s="52">
        <f t="shared" si="0"/>
        <v>0.1323</v>
      </c>
      <c r="F7" s="52">
        <f t="shared" si="0"/>
        <v>0.13891500000000001</v>
      </c>
      <c r="G7" s="52">
        <f t="shared" si="0"/>
        <v>0.14586075000000001</v>
      </c>
      <c r="H7" s="52">
        <f t="shared" si="0"/>
        <v>0.15315378750000003</v>
      </c>
      <c r="I7" s="52">
        <f t="shared" si="0"/>
        <v>0.16081147687500003</v>
      </c>
      <c r="J7" s="52">
        <f t="shared" si="1"/>
        <v>0.16885205071875004</v>
      </c>
      <c r="K7" s="52">
        <f t="shared" si="2"/>
        <v>0.17729465325468755</v>
      </c>
      <c r="L7" s="52">
        <f t="shared" si="3"/>
        <v>0.18615938591742193</v>
      </c>
      <c r="M7" s="63"/>
      <c r="N7" s="51">
        <f>N5+N3</f>
        <v>56</v>
      </c>
      <c r="O7" s="51"/>
      <c r="P7" s="51"/>
      <c r="Q7" s="51"/>
    </row>
    <row r="8" spans="1:17" x14ac:dyDescent="0.2">
      <c r="A8" s="51" t="s">
        <v>598</v>
      </c>
      <c r="B8" s="51" t="s">
        <v>742</v>
      </c>
      <c r="C8" s="52">
        <v>0.1</v>
      </c>
      <c r="D8" s="52">
        <f>C8</f>
        <v>0.1</v>
      </c>
      <c r="E8" s="52">
        <f t="shared" ref="E8:L8" si="4">D8</f>
        <v>0.1</v>
      </c>
      <c r="F8" s="52">
        <f t="shared" si="4"/>
        <v>0.1</v>
      </c>
      <c r="G8" s="52">
        <f t="shared" si="4"/>
        <v>0.1</v>
      </c>
      <c r="H8" s="52">
        <f t="shared" si="4"/>
        <v>0.1</v>
      </c>
      <c r="I8" s="52">
        <f t="shared" si="4"/>
        <v>0.1</v>
      </c>
      <c r="J8" s="52">
        <f t="shared" si="4"/>
        <v>0.1</v>
      </c>
      <c r="K8" s="52">
        <f t="shared" si="4"/>
        <v>0.1</v>
      </c>
      <c r="L8" s="52">
        <f t="shared" si="4"/>
        <v>0.1</v>
      </c>
      <c r="M8" s="63"/>
      <c r="N8" s="51"/>
      <c r="O8" s="51"/>
      <c r="P8" s="51"/>
      <c r="Q8" s="51"/>
    </row>
    <row r="9" spans="1:17" x14ac:dyDescent="0.2">
      <c r="A9" s="51" t="s">
        <v>117</v>
      </c>
      <c r="B9" s="51" t="s">
        <v>118</v>
      </c>
      <c r="C9" s="52">
        <v>0.15</v>
      </c>
      <c r="D9" s="52">
        <f t="shared" si="0"/>
        <v>0.1575</v>
      </c>
      <c r="E9" s="52">
        <f t="shared" si="0"/>
        <v>0.16537500000000002</v>
      </c>
      <c r="F9" s="52">
        <f t="shared" si="0"/>
        <v>0.17364375000000004</v>
      </c>
      <c r="G9" s="52">
        <f t="shared" si="0"/>
        <v>0.18232593750000006</v>
      </c>
      <c r="H9" s="52">
        <f t="shared" si="0"/>
        <v>0.19144223437500008</v>
      </c>
      <c r="I9" s="52">
        <f t="shared" si="0"/>
        <v>0.2010143460937501</v>
      </c>
      <c r="J9" s="52">
        <f t="shared" si="1"/>
        <v>0.21106506339843761</v>
      </c>
      <c r="K9" s="52">
        <f t="shared" si="2"/>
        <v>0.22161831656835951</v>
      </c>
      <c r="L9" s="52">
        <f t="shared" si="3"/>
        <v>0.23269923239677751</v>
      </c>
      <c r="M9" s="63"/>
      <c r="N9" s="51">
        <v>0.8</v>
      </c>
      <c r="O9" s="51"/>
      <c r="P9" s="51"/>
      <c r="Q9" s="51"/>
    </row>
    <row r="10" spans="1:17" ht="25.5" x14ac:dyDescent="0.2">
      <c r="A10" s="51" t="s">
        <v>119</v>
      </c>
      <c r="B10" s="51" t="s">
        <v>120</v>
      </c>
      <c r="C10" s="52">
        <f>Q3/100000</f>
        <v>0.12</v>
      </c>
      <c r="D10" s="52">
        <f t="shared" si="0"/>
        <v>0.126</v>
      </c>
      <c r="E10" s="52">
        <f t="shared" si="0"/>
        <v>0.1323</v>
      </c>
      <c r="F10" s="52">
        <f t="shared" si="0"/>
        <v>0.13891500000000001</v>
      </c>
      <c r="G10" s="52">
        <f t="shared" si="0"/>
        <v>0.14586075000000001</v>
      </c>
      <c r="H10" s="52">
        <f t="shared" si="0"/>
        <v>0.15315378750000003</v>
      </c>
      <c r="I10" s="52">
        <f t="shared" si="0"/>
        <v>0.16081147687500003</v>
      </c>
      <c r="J10" s="52">
        <f t="shared" si="1"/>
        <v>0.16885205071875004</v>
      </c>
      <c r="K10" s="52">
        <f t="shared" si="2"/>
        <v>0.17729465325468755</v>
      </c>
      <c r="L10" s="52">
        <f t="shared" si="3"/>
        <v>0.18615938591742193</v>
      </c>
      <c r="M10" s="63"/>
      <c r="N10" s="51">
        <v>0.8</v>
      </c>
      <c r="O10" s="51"/>
      <c r="P10" s="51"/>
      <c r="Q10" s="51"/>
    </row>
    <row r="11" spans="1:17" x14ac:dyDescent="0.2">
      <c r="A11" s="51" t="s">
        <v>121</v>
      </c>
      <c r="B11" s="51" t="s">
        <v>122</v>
      </c>
      <c r="C11" s="52">
        <f>3000*12/100000</f>
        <v>0.36</v>
      </c>
      <c r="D11" s="52">
        <f t="shared" ref="D11" si="5">C11*1.05</f>
        <v>0.378</v>
      </c>
      <c r="E11" s="52">
        <f t="shared" ref="E11" si="6">D11*1.05</f>
        <v>0.39690000000000003</v>
      </c>
      <c r="F11" s="52">
        <f t="shared" ref="F11" si="7">E11*1.05</f>
        <v>0.41674500000000003</v>
      </c>
      <c r="G11" s="52">
        <f t="shared" ref="G11" si="8">F11*1.05</f>
        <v>0.43758225000000006</v>
      </c>
      <c r="H11" s="52">
        <f t="shared" ref="H11" si="9">G11*1.05</f>
        <v>0.45946136250000008</v>
      </c>
      <c r="I11" s="52">
        <f t="shared" ref="I11" si="10">H11*1.05</f>
        <v>0.48243443062500013</v>
      </c>
      <c r="J11" s="52">
        <f t="shared" ref="J11" si="11">I11*1.05</f>
        <v>0.50655615215625016</v>
      </c>
      <c r="K11" s="52">
        <f t="shared" ref="K11" si="12">J11*1.05</f>
        <v>0.53188395976406266</v>
      </c>
      <c r="L11" s="52">
        <f t="shared" ref="L11" si="13">K11*1.05</f>
        <v>0.55847815775226584</v>
      </c>
      <c r="M11" s="63"/>
      <c r="N11" s="51">
        <v>10</v>
      </c>
      <c r="O11" s="51"/>
      <c r="P11" s="51"/>
      <c r="Q11" s="51"/>
    </row>
    <row r="12" spans="1:17" x14ac:dyDescent="0.2">
      <c r="A12" s="51" t="s">
        <v>123</v>
      </c>
      <c r="B12" s="51" t="s">
        <v>122</v>
      </c>
      <c r="C12" s="52">
        <f>3000*12/100000</f>
        <v>0.36</v>
      </c>
      <c r="D12" s="52">
        <f t="shared" si="0"/>
        <v>0.378</v>
      </c>
      <c r="E12" s="52">
        <f t="shared" si="0"/>
        <v>0.39690000000000003</v>
      </c>
      <c r="F12" s="52">
        <f t="shared" si="0"/>
        <v>0.41674500000000003</v>
      </c>
      <c r="G12" s="52">
        <f t="shared" si="0"/>
        <v>0.43758225000000006</v>
      </c>
      <c r="H12" s="52">
        <f t="shared" si="0"/>
        <v>0.45946136250000008</v>
      </c>
      <c r="I12" s="52">
        <f t="shared" si="0"/>
        <v>0.48243443062500013</v>
      </c>
      <c r="J12" s="52">
        <f t="shared" si="1"/>
        <v>0.50655615215625016</v>
      </c>
      <c r="K12" s="52">
        <f t="shared" si="2"/>
        <v>0.53188395976406266</v>
      </c>
      <c r="L12" s="52">
        <f t="shared" si="3"/>
        <v>0.55847815775226584</v>
      </c>
      <c r="M12" s="63"/>
      <c r="N12" s="51">
        <v>10</v>
      </c>
      <c r="O12" s="51"/>
      <c r="P12" s="51"/>
      <c r="Q12" s="51"/>
    </row>
    <row r="13" spans="1:17" ht="25.5" x14ac:dyDescent="0.2">
      <c r="A13" s="51" t="s">
        <v>124</v>
      </c>
      <c r="B13" s="51" t="s">
        <v>125</v>
      </c>
      <c r="C13" s="52">
        <f>SUM('Manpower Schedule'!G3:G9)</f>
        <v>3.84</v>
      </c>
      <c r="D13" s="52">
        <f t="shared" si="0"/>
        <v>4.032</v>
      </c>
      <c r="E13" s="52">
        <f t="shared" si="0"/>
        <v>4.2336</v>
      </c>
      <c r="F13" s="52">
        <f t="shared" si="0"/>
        <v>4.4452800000000003</v>
      </c>
      <c r="G13" s="52">
        <f t="shared" si="0"/>
        <v>4.6675440000000004</v>
      </c>
      <c r="H13" s="52">
        <f t="shared" si="0"/>
        <v>4.9009212000000009</v>
      </c>
      <c r="I13" s="52">
        <f t="shared" si="0"/>
        <v>5.1459672600000008</v>
      </c>
      <c r="J13" s="52">
        <f t="shared" si="1"/>
        <v>5.4032656230000011</v>
      </c>
      <c r="K13" s="52">
        <f t="shared" si="2"/>
        <v>5.6734289041500015</v>
      </c>
      <c r="L13" s="52">
        <f t="shared" si="3"/>
        <v>5.9571003493575017</v>
      </c>
      <c r="M13" s="63"/>
      <c r="N13" s="62">
        <f>N7*N9*N10*N11*N12</f>
        <v>3584.0000000000005</v>
      </c>
      <c r="O13" s="51"/>
      <c r="P13" s="51"/>
      <c r="Q13" s="51"/>
    </row>
    <row r="14" spans="1:17" x14ac:dyDescent="0.2">
      <c r="A14" s="51" t="s">
        <v>126</v>
      </c>
      <c r="B14" s="51" t="s">
        <v>626</v>
      </c>
      <c r="C14" s="52">
        <f>5000*12/100000</f>
        <v>0.6</v>
      </c>
      <c r="D14" s="52">
        <f t="shared" si="0"/>
        <v>0.63</v>
      </c>
      <c r="E14" s="52">
        <f t="shared" si="0"/>
        <v>0.66150000000000009</v>
      </c>
      <c r="F14" s="52">
        <f t="shared" si="0"/>
        <v>0.69457500000000016</v>
      </c>
      <c r="G14" s="52">
        <f t="shared" si="0"/>
        <v>0.72930375000000025</v>
      </c>
      <c r="H14" s="52">
        <f t="shared" si="0"/>
        <v>0.7657689375000003</v>
      </c>
      <c r="I14" s="52">
        <f t="shared" si="0"/>
        <v>0.80405738437500041</v>
      </c>
      <c r="J14" s="52">
        <f t="shared" si="1"/>
        <v>0.84426025359375045</v>
      </c>
      <c r="K14" s="52">
        <f t="shared" si="2"/>
        <v>0.88647326627343803</v>
      </c>
      <c r="L14" s="52">
        <f t="shared" si="3"/>
        <v>0.93079692958711002</v>
      </c>
      <c r="M14" s="63"/>
    </row>
    <row r="15" spans="1:17" x14ac:dyDescent="0.2">
      <c r="A15" s="51" t="s">
        <v>127</v>
      </c>
      <c r="B15" s="51" t="s">
        <v>626</v>
      </c>
      <c r="C15" s="52">
        <f>5000*12/100000</f>
        <v>0.6</v>
      </c>
      <c r="D15" s="52">
        <f t="shared" si="0"/>
        <v>0.63</v>
      </c>
      <c r="E15" s="52">
        <f t="shared" si="0"/>
        <v>0.66150000000000009</v>
      </c>
      <c r="F15" s="52">
        <f t="shared" si="0"/>
        <v>0.69457500000000016</v>
      </c>
      <c r="G15" s="52">
        <f t="shared" si="0"/>
        <v>0.72930375000000025</v>
      </c>
      <c r="H15" s="52">
        <f t="shared" si="0"/>
        <v>0.7657689375000003</v>
      </c>
      <c r="I15" s="52">
        <f t="shared" si="0"/>
        <v>0.80405738437500041</v>
      </c>
      <c r="J15" s="52">
        <f t="shared" si="1"/>
        <v>0.84426025359375045</v>
      </c>
      <c r="K15" s="52">
        <f t="shared" si="2"/>
        <v>0.88647326627343803</v>
      </c>
      <c r="L15" s="52">
        <f t="shared" si="3"/>
        <v>0.93079692958711002</v>
      </c>
      <c r="M15" s="63"/>
    </row>
    <row r="16" spans="1:17" x14ac:dyDescent="0.2">
      <c r="A16" s="51" t="s">
        <v>128</v>
      </c>
      <c r="B16" s="51" t="s">
        <v>129</v>
      </c>
      <c r="C16" s="52">
        <v>0.12</v>
      </c>
      <c r="D16" s="52">
        <f t="shared" si="0"/>
        <v>0.126</v>
      </c>
      <c r="E16" s="52">
        <f t="shared" si="0"/>
        <v>0.1323</v>
      </c>
      <c r="F16" s="52">
        <f t="shared" si="0"/>
        <v>0.13891500000000001</v>
      </c>
      <c r="G16" s="52">
        <f t="shared" si="0"/>
        <v>0.14586075000000001</v>
      </c>
      <c r="H16" s="52">
        <f t="shared" si="0"/>
        <v>0.15315378750000003</v>
      </c>
      <c r="I16" s="52">
        <f t="shared" si="0"/>
        <v>0.16081147687500003</v>
      </c>
      <c r="J16" s="52">
        <f t="shared" si="1"/>
        <v>0.16885205071875004</v>
      </c>
      <c r="K16" s="52">
        <f t="shared" si="2"/>
        <v>0.17729465325468755</v>
      </c>
      <c r="L16" s="52">
        <f t="shared" si="3"/>
        <v>0.18615938591742193</v>
      </c>
      <c r="M16" s="63"/>
      <c r="O16" s="53">
        <f>N7*N9*N10</f>
        <v>35.840000000000003</v>
      </c>
      <c r="Q16" s="53">
        <f>N7*N9*N10</f>
        <v>35.840000000000003</v>
      </c>
    </row>
    <row r="17" spans="1:13" ht="25.5" x14ac:dyDescent="0.2">
      <c r="A17" s="51" t="s">
        <v>130</v>
      </c>
      <c r="B17" s="51" t="s">
        <v>131</v>
      </c>
      <c r="C17" s="52">
        <f t="shared" ref="C17:I17" si="14">C13*0.1</f>
        <v>0.38400000000000001</v>
      </c>
      <c r="D17" s="52">
        <f t="shared" si="14"/>
        <v>0.4032</v>
      </c>
      <c r="E17" s="52">
        <f t="shared" si="14"/>
        <v>0.42336000000000001</v>
      </c>
      <c r="F17" s="52">
        <f t="shared" si="14"/>
        <v>0.44452800000000003</v>
      </c>
      <c r="G17" s="52">
        <f t="shared" si="14"/>
        <v>0.46675440000000007</v>
      </c>
      <c r="H17" s="52">
        <f t="shared" si="14"/>
        <v>0.49009212000000013</v>
      </c>
      <c r="I17" s="52">
        <f t="shared" si="14"/>
        <v>0.51459672600000006</v>
      </c>
      <c r="J17" s="52">
        <f t="shared" ref="J17:L17" si="15">J13*0.1</f>
        <v>0.54032656230000009</v>
      </c>
      <c r="K17" s="52">
        <f t="shared" si="15"/>
        <v>0.56734289041500019</v>
      </c>
      <c r="L17" s="52">
        <f t="shared" si="15"/>
        <v>0.59571003493575014</v>
      </c>
      <c r="M17" s="63"/>
    </row>
    <row r="18" spans="1:13" x14ac:dyDescent="0.2">
      <c r="A18" s="51"/>
      <c r="B18" s="51"/>
      <c r="C18" s="52">
        <f>C17+C13</f>
        <v>4.2240000000000002</v>
      </c>
      <c r="D18" s="52"/>
      <c r="E18" s="52"/>
      <c r="F18" s="52"/>
      <c r="G18" s="52"/>
      <c r="H18" s="52"/>
      <c r="I18" s="52"/>
      <c r="J18" s="52"/>
      <c r="K18" s="52"/>
      <c r="L18" s="52"/>
      <c r="M18" s="63"/>
    </row>
    <row r="19" spans="1:13" ht="25.5" x14ac:dyDescent="0.2">
      <c r="A19" s="62" t="s">
        <v>132</v>
      </c>
      <c r="B19" s="62"/>
      <c r="C19" s="64">
        <f t="shared" ref="C19:L19" si="16">SUM(C6:C17)</f>
        <v>6.9939999999999989</v>
      </c>
      <c r="D19" s="64">
        <f t="shared" si="16"/>
        <v>7.3387000000000002</v>
      </c>
      <c r="E19" s="64">
        <f t="shared" si="16"/>
        <v>7.7006350000000001</v>
      </c>
      <c r="F19" s="64">
        <f t="shared" si="16"/>
        <v>8.0806667500000025</v>
      </c>
      <c r="G19" s="64">
        <f t="shared" si="16"/>
        <v>8.4797000875000013</v>
      </c>
      <c r="H19" s="64">
        <f t="shared" si="16"/>
        <v>8.898685091875004</v>
      </c>
      <c r="I19" s="64">
        <f t="shared" si="16"/>
        <v>9.3386193464687537</v>
      </c>
      <c r="J19" s="64">
        <f t="shared" si="16"/>
        <v>9.8005503137921899</v>
      </c>
      <c r="K19" s="64">
        <f t="shared" si="16"/>
        <v>10.285577829481801</v>
      </c>
      <c r="L19" s="64">
        <f t="shared" si="16"/>
        <v>10.794856720955892</v>
      </c>
    </row>
    <row r="20" spans="1:13" x14ac:dyDescent="0.2">
      <c r="A20" s="51"/>
      <c r="B20" s="51"/>
      <c r="C20" s="329"/>
      <c r="D20" s="329"/>
      <c r="E20" s="329"/>
      <c r="F20" s="329"/>
      <c r="G20" s="329"/>
      <c r="H20" s="329"/>
      <c r="I20" s="329"/>
      <c r="J20" s="51"/>
      <c r="K20" s="51"/>
      <c r="L20" s="51"/>
      <c r="M20" s="65"/>
    </row>
    <row r="21" spans="1:13" x14ac:dyDescent="0.2">
      <c r="A21" s="62"/>
      <c r="B21" s="62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5"/>
    </row>
    <row r="22" spans="1:13" x14ac:dyDescent="0.2">
      <c r="A22" s="62" t="s">
        <v>133</v>
      </c>
      <c r="B22" s="55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3" ht="25.5" x14ac:dyDescent="0.2">
      <c r="A23" s="51" t="s">
        <v>134</v>
      </c>
      <c r="B23" s="283" t="s">
        <v>627</v>
      </c>
      <c r="C23" s="52">
        <f>+Depn!C19*1%</f>
        <v>0.95909999999999995</v>
      </c>
      <c r="D23" s="52">
        <f t="shared" ref="D23:I26" si="17">C23*1.05</f>
        <v>1.007055</v>
      </c>
      <c r="E23" s="52">
        <f t="shared" si="17"/>
        <v>1.0574077500000001</v>
      </c>
      <c r="F23" s="52">
        <f t="shared" si="17"/>
        <v>1.1102781375000002</v>
      </c>
      <c r="G23" s="52">
        <f t="shared" si="17"/>
        <v>1.1657920443750003</v>
      </c>
      <c r="H23" s="52">
        <f t="shared" si="17"/>
        <v>1.2240816465937503</v>
      </c>
      <c r="I23" s="52">
        <f t="shared" si="17"/>
        <v>1.2852857289234378</v>
      </c>
      <c r="J23" s="52">
        <f t="shared" ref="J23:J26" si="18">I23*1.05</f>
        <v>1.3495500153696098</v>
      </c>
      <c r="K23" s="52">
        <f t="shared" ref="K23:K26" si="19">J23*1.05</f>
        <v>1.4170275161380903</v>
      </c>
      <c r="L23" s="52">
        <f t="shared" ref="L23:L26" si="20">K23*1.05</f>
        <v>1.4878788919449948</v>
      </c>
    </row>
    <row r="24" spans="1:13" ht="38.25" x14ac:dyDescent="0.2">
      <c r="A24" s="51" t="s">
        <v>135</v>
      </c>
      <c r="B24" s="51" t="s">
        <v>136</v>
      </c>
      <c r="C24" s="52">
        <f>('Project Glance'!B6+'Project Glance'!B8+'Project Glance'!B9+'Project Glance'!B11+'Project Glance'!B7)*0.5%</f>
        <v>0.47954999999999998</v>
      </c>
      <c r="D24" s="52">
        <f t="shared" si="17"/>
        <v>0.50352750000000002</v>
      </c>
      <c r="E24" s="52">
        <f t="shared" si="17"/>
        <v>0.52870387500000005</v>
      </c>
      <c r="F24" s="52">
        <f t="shared" si="17"/>
        <v>0.55513906875000008</v>
      </c>
      <c r="G24" s="52">
        <f t="shared" si="17"/>
        <v>0.58289602218750014</v>
      </c>
      <c r="H24" s="52">
        <f t="shared" si="17"/>
        <v>0.61204082329687515</v>
      </c>
      <c r="I24" s="52">
        <f t="shared" si="17"/>
        <v>0.64264286446171892</v>
      </c>
      <c r="J24" s="52">
        <f t="shared" si="18"/>
        <v>0.67477500768480492</v>
      </c>
      <c r="K24" s="52">
        <f t="shared" si="19"/>
        <v>0.70851375806904515</v>
      </c>
      <c r="L24" s="52">
        <f t="shared" si="20"/>
        <v>0.74393944597249739</v>
      </c>
    </row>
    <row r="25" spans="1:13" ht="25.5" x14ac:dyDescent="0.2">
      <c r="A25" s="51" t="s">
        <v>137</v>
      </c>
      <c r="B25" s="51" t="s">
        <v>138</v>
      </c>
      <c r="C25" s="52">
        <f>SUM('Manpower Schedule'!G11:G17)</f>
        <v>4.32</v>
      </c>
      <c r="D25" s="52">
        <f t="shared" si="17"/>
        <v>4.5360000000000005</v>
      </c>
      <c r="E25" s="52">
        <f t="shared" si="17"/>
        <v>4.7628000000000004</v>
      </c>
      <c r="F25" s="52">
        <f t="shared" si="17"/>
        <v>5.0009400000000008</v>
      </c>
      <c r="G25" s="52">
        <f t="shared" si="17"/>
        <v>5.2509870000000012</v>
      </c>
      <c r="H25" s="52">
        <f t="shared" si="17"/>
        <v>5.5135363500000016</v>
      </c>
      <c r="I25" s="52">
        <f t="shared" si="17"/>
        <v>5.7892131675000016</v>
      </c>
      <c r="J25" s="52">
        <f t="shared" si="18"/>
        <v>6.0786738258750015</v>
      </c>
      <c r="K25" s="52">
        <f t="shared" si="19"/>
        <v>6.3826075171687515</v>
      </c>
      <c r="L25" s="52">
        <f t="shared" si="20"/>
        <v>6.7017378930271896</v>
      </c>
    </row>
    <row r="26" spans="1:13" ht="25.5" x14ac:dyDescent="0.2">
      <c r="A26" s="51" t="s">
        <v>139</v>
      </c>
      <c r="B26" s="51" t="s">
        <v>730</v>
      </c>
      <c r="C26" s="52">
        <f>Q5/100000</f>
        <v>1.224</v>
      </c>
      <c r="D26" s="52">
        <f t="shared" si="17"/>
        <v>1.2852000000000001</v>
      </c>
      <c r="E26" s="52">
        <f t="shared" si="17"/>
        <v>1.3494600000000001</v>
      </c>
      <c r="F26" s="52">
        <f t="shared" si="17"/>
        <v>1.4169330000000002</v>
      </c>
      <c r="G26" s="52">
        <f t="shared" si="17"/>
        <v>1.4877796500000002</v>
      </c>
      <c r="H26" s="52">
        <f t="shared" si="17"/>
        <v>1.5621686325000004</v>
      </c>
      <c r="I26" s="52">
        <f t="shared" si="17"/>
        <v>1.6402770641250004</v>
      </c>
      <c r="J26" s="52">
        <f t="shared" si="18"/>
        <v>1.7222909173312504</v>
      </c>
      <c r="K26" s="52">
        <f t="shared" si="19"/>
        <v>1.808405463197813</v>
      </c>
      <c r="L26" s="52">
        <f t="shared" si="20"/>
        <v>1.8988257363577037</v>
      </c>
    </row>
    <row r="27" spans="1:13" ht="38.25" hidden="1" x14ac:dyDescent="0.2">
      <c r="A27" s="51" t="s">
        <v>454</v>
      </c>
      <c r="B27" s="51"/>
      <c r="C27" s="52">
        <f>'Production Level Support'!B3</f>
        <v>0</v>
      </c>
      <c r="D27" s="52">
        <f>'Production Level Support'!C3</f>
        <v>0</v>
      </c>
      <c r="E27" s="52">
        <f>'Production Level Support'!D3</f>
        <v>0</v>
      </c>
      <c r="F27" s="52">
        <f>'Production Level Support'!E3</f>
        <v>0</v>
      </c>
      <c r="G27" s="52">
        <f>'Production Level Support'!F3</f>
        <v>0</v>
      </c>
      <c r="H27" s="52">
        <f>'Production Level Support'!G3</f>
        <v>0</v>
      </c>
      <c r="I27" s="52">
        <f>'Production Level Support'!H3</f>
        <v>0</v>
      </c>
      <c r="J27" s="52"/>
      <c r="K27" s="52"/>
      <c r="L27" s="52"/>
    </row>
    <row r="28" spans="1:13" ht="25.5" x14ac:dyDescent="0.2">
      <c r="A28" s="62" t="s">
        <v>140</v>
      </c>
      <c r="B28" s="62"/>
      <c r="C28" s="66">
        <f>SUM(C23:C26)</f>
        <v>6.9826500000000005</v>
      </c>
      <c r="D28" s="66">
        <f t="shared" ref="D28:L28" si="21">SUM(D23:D26)</f>
        <v>7.331782500000001</v>
      </c>
      <c r="E28" s="66">
        <f t="shared" si="21"/>
        <v>7.6983716250000001</v>
      </c>
      <c r="F28" s="66">
        <f t="shared" si="21"/>
        <v>8.0832902062500018</v>
      </c>
      <c r="G28" s="66">
        <f t="shared" si="21"/>
        <v>8.4874547165625014</v>
      </c>
      <c r="H28" s="66">
        <f t="shared" si="21"/>
        <v>8.9118274523906269</v>
      </c>
      <c r="I28" s="66">
        <f t="shared" si="21"/>
        <v>9.3574188250101589</v>
      </c>
      <c r="J28" s="66">
        <f t="shared" si="21"/>
        <v>9.8252897662606671</v>
      </c>
      <c r="K28" s="66">
        <f t="shared" si="21"/>
        <v>10.316554254573701</v>
      </c>
      <c r="L28" s="66">
        <f t="shared" si="21"/>
        <v>10.832381967302386</v>
      </c>
    </row>
    <row r="29" spans="1:13" x14ac:dyDescent="0.2">
      <c r="A29" s="51"/>
      <c r="B29" s="51"/>
      <c r="C29" s="329"/>
      <c r="D29" s="329"/>
      <c r="E29" s="329"/>
      <c r="F29" s="329"/>
      <c r="G29" s="329"/>
      <c r="H29" s="329"/>
      <c r="I29" s="329"/>
      <c r="J29" s="51"/>
      <c r="K29" s="51"/>
      <c r="L29" s="51"/>
    </row>
    <row r="30" spans="1:13" x14ac:dyDescent="0.2">
      <c r="A30" s="358" t="s">
        <v>141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59"/>
      <c r="L30" s="360"/>
    </row>
    <row r="31" spans="1:13" ht="25.5" x14ac:dyDescent="0.2">
      <c r="A31" s="51" t="s">
        <v>142</v>
      </c>
      <c r="B31" s="51" t="s">
        <v>143</v>
      </c>
      <c r="C31" s="52">
        <f>'Manpower Schedule'!B23*300*'Output Schedule'!B45/100000</f>
        <v>2.7</v>
      </c>
      <c r="D31" s="52">
        <f>'Manpower Schedule'!C23*300*'Output Schedule'!C45/100000</f>
        <v>3.4860000000000002</v>
      </c>
      <c r="E31" s="52">
        <f>'Manpower Schedule'!D23*300*'Output Schedule'!D45/100000</f>
        <v>4.32</v>
      </c>
      <c r="F31" s="52">
        <f>'Manpower Schedule'!E23*300*'Output Schedule'!E45/100000</f>
        <v>5.2919999999999998</v>
      </c>
      <c r="G31" s="52">
        <f>'Manpower Schedule'!F23*300*'Output Schedule'!F45/100000</f>
        <v>6.3</v>
      </c>
      <c r="H31" s="52">
        <f>'Manpower Schedule'!G23*300*'Output Schedule'!G45/100000</f>
        <v>7.4580000000000002</v>
      </c>
      <c r="I31" s="52">
        <f>'Manpower Schedule'!H23*300*'Output Schedule'!H45/100000</f>
        <v>8.64</v>
      </c>
      <c r="J31" s="52">
        <f>'Manpower Schedule'!I23*300*'Output Schedule'!I45/100000</f>
        <v>9.2159999999999993</v>
      </c>
      <c r="K31" s="52">
        <f>'Manpower Schedule'!J23*300*'Output Schedule'!J45/100000</f>
        <v>9.7200000000000006</v>
      </c>
      <c r="L31" s="52">
        <f>'Manpower Schedule'!K23*300*'Output Schedule'!K45/100000</f>
        <v>10.295999999999999</v>
      </c>
    </row>
    <row r="32" spans="1:13" ht="25.5" x14ac:dyDescent="0.2">
      <c r="A32" s="54" t="s">
        <v>139</v>
      </c>
      <c r="B32" s="51" t="s">
        <v>731</v>
      </c>
      <c r="C32" s="52">
        <f>$N$13*'Output Schedule'!B45/100000</f>
        <v>5.3760000000000012</v>
      </c>
      <c r="D32" s="52">
        <f>$N$13*'Output Schedule'!C45/100000</f>
        <v>5.9494400000000009</v>
      </c>
      <c r="E32" s="52">
        <f>$N$13*'Output Schedule'!D45/100000</f>
        <v>6.4512000000000009</v>
      </c>
      <c r="F32" s="52">
        <f>$N$13*'Output Schedule'!E45/100000</f>
        <v>7.0246400000000015</v>
      </c>
      <c r="G32" s="52">
        <f>$N$13*'Output Schedule'!F45/100000</f>
        <v>7.5264000000000015</v>
      </c>
      <c r="H32" s="52">
        <f>$N$13*'Output Schedule'!G45/100000</f>
        <v>8.0998400000000004</v>
      </c>
      <c r="I32" s="52">
        <f>$N$13*'Output Schedule'!H45/100000</f>
        <v>8.6016000000000012</v>
      </c>
      <c r="J32" s="52">
        <f>$N$13*'Output Schedule'!I45/100000</f>
        <v>9.175040000000001</v>
      </c>
      <c r="K32" s="52">
        <f>$N$13*'Output Schedule'!J45/100000</f>
        <v>9.6768000000000018</v>
      </c>
      <c r="L32" s="52">
        <f>$N$13*'Output Schedule'!K45/100000</f>
        <v>10.250240000000002</v>
      </c>
    </row>
    <row r="33" spans="1:17" x14ac:dyDescent="0.2">
      <c r="A33" s="54" t="s">
        <v>145</v>
      </c>
      <c r="B33" s="54" t="s">
        <v>146</v>
      </c>
      <c r="C33" s="52">
        <f>50*'Output Schedule'!B45/100000</f>
        <v>7.4999999999999997E-2</v>
      </c>
      <c r="D33" s="52">
        <f>50*'Output Schedule'!C45/100000</f>
        <v>8.3000000000000004E-2</v>
      </c>
      <c r="E33" s="52">
        <f>50*'Output Schedule'!D45/100000</f>
        <v>0.09</v>
      </c>
      <c r="F33" s="52">
        <f>50*'Output Schedule'!E45/100000</f>
        <v>9.8000000000000004E-2</v>
      </c>
      <c r="G33" s="52">
        <f>50*'Output Schedule'!F45/100000</f>
        <v>0.105</v>
      </c>
      <c r="H33" s="52">
        <f>50*'Output Schedule'!G45/100000</f>
        <v>0.113</v>
      </c>
      <c r="I33" s="52">
        <f>50*'Output Schedule'!H45/100000</f>
        <v>0.12</v>
      </c>
      <c r="J33" s="52">
        <f>50*'Output Schedule'!I45/100000</f>
        <v>0.128</v>
      </c>
      <c r="K33" s="52">
        <f>50*'Output Schedule'!J45/100000</f>
        <v>0.13500000000000001</v>
      </c>
      <c r="L33" s="52">
        <f>50*'Output Schedule'!K45/100000</f>
        <v>0.14299999999999999</v>
      </c>
    </row>
    <row r="34" spans="1:17" ht="26.25" x14ac:dyDescent="0.25">
      <c r="A34" s="51" t="s">
        <v>147</v>
      </c>
      <c r="B34" s="67" t="s">
        <v>628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/>
    </row>
    <row r="35" spans="1:17" ht="15" x14ac:dyDescent="0.25">
      <c r="A35" s="54" t="s">
        <v>148</v>
      </c>
      <c r="B35" s="67" t="s">
        <v>697</v>
      </c>
      <c r="C35" s="295">
        <f>400*'Output Schedule'!B17/100000</f>
        <v>0.9</v>
      </c>
      <c r="D35" s="295">
        <f>400*'Output Schedule'!C17/100000</f>
        <v>0.99</v>
      </c>
      <c r="E35" s="295">
        <f>400*'Output Schedule'!D17/100000</f>
        <v>1.08</v>
      </c>
      <c r="F35" s="295">
        <f>400*'Output Schedule'!E17/100000</f>
        <v>1.17</v>
      </c>
      <c r="G35" s="295">
        <f>400*'Output Schedule'!F17/100000</f>
        <v>1.26</v>
      </c>
      <c r="H35" s="295">
        <f>400*'Output Schedule'!G17/100000</f>
        <v>1.35</v>
      </c>
      <c r="I35" s="295">
        <f>400*'Output Schedule'!H17/100000</f>
        <v>1.44</v>
      </c>
      <c r="J35" s="295">
        <f>400*'Output Schedule'!I17/100000</f>
        <v>1.53</v>
      </c>
      <c r="K35" s="295">
        <f>400*'Output Schedule'!J17/100000</f>
        <v>1.62</v>
      </c>
      <c r="L35" s="295">
        <f>400*'Output Schedule'!K17/100000</f>
        <v>1.71</v>
      </c>
      <c r="M35"/>
      <c r="O35" s="68"/>
      <c r="P35" s="68"/>
      <c r="Q35" s="68"/>
    </row>
    <row r="36" spans="1:17" ht="39" x14ac:dyDescent="0.25">
      <c r="A36" s="51" t="s">
        <v>149</v>
      </c>
      <c r="B36" s="69" t="s">
        <v>150</v>
      </c>
      <c r="C36" s="52">
        <f>800*'Manpower Schedule'!B23/100000</f>
        <v>4.8000000000000001E-2</v>
      </c>
      <c r="D36" s="52">
        <f>800*'Manpower Schedule'!C23/100000</f>
        <v>5.6000000000000001E-2</v>
      </c>
      <c r="E36" s="52">
        <f>800*'Manpower Schedule'!D23/100000</f>
        <v>6.4000000000000001E-2</v>
      </c>
      <c r="F36" s="52">
        <f>800*'Manpower Schedule'!E23/100000</f>
        <v>7.1999999999999995E-2</v>
      </c>
      <c r="G36" s="52">
        <f>800*'Manpower Schedule'!F23/100000</f>
        <v>0.08</v>
      </c>
      <c r="H36" s="52">
        <f>800*'Manpower Schedule'!G23/100000</f>
        <v>8.7999999999999995E-2</v>
      </c>
      <c r="I36" s="52">
        <f>800*'Manpower Schedule'!H23/100000</f>
        <v>9.6000000000000002E-2</v>
      </c>
      <c r="J36" s="52">
        <f>800*'Manpower Schedule'!I23/100000</f>
        <v>9.6000000000000002E-2</v>
      </c>
      <c r="K36" s="52">
        <f>800*'Manpower Schedule'!J23/100000</f>
        <v>9.6000000000000002E-2</v>
      </c>
      <c r="L36" s="52">
        <f>800*'Manpower Schedule'!K23/100000</f>
        <v>9.6000000000000002E-2</v>
      </c>
      <c r="M36"/>
      <c r="O36" s="292"/>
      <c r="P36" s="68"/>
      <c r="Q36" s="68"/>
    </row>
    <row r="37" spans="1:17" ht="26.25" x14ac:dyDescent="0.25">
      <c r="A37" s="51" t="s">
        <v>164</v>
      </c>
      <c r="B37" s="67" t="s">
        <v>597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/>
      <c r="O37" s="292"/>
      <c r="P37" s="68"/>
      <c r="Q37" s="68"/>
    </row>
    <row r="38" spans="1:17" ht="27.75" customHeight="1" x14ac:dyDescent="0.25">
      <c r="A38" s="54" t="s">
        <v>165</v>
      </c>
      <c r="B38" s="67" t="s">
        <v>151</v>
      </c>
      <c r="C38" s="52">
        <f>500*'Output Schedule'!B17/100000</f>
        <v>1.125</v>
      </c>
      <c r="D38" s="52">
        <f>500*'Output Schedule'!C17/100000</f>
        <v>1.2375</v>
      </c>
      <c r="E38" s="52">
        <f>500*'Output Schedule'!D17/100000</f>
        <v>1.35</v>
      </c>
      <c r="F38" s="52">
        <f>500*'Output Schedule'!E17/100000</f>
        <v>1.4624999999999999</v>
      </c>
      <c r="G38" s="52">
        <f>500*'Output Schedule'!F17/100000</f>
        <v>1.575</v>
      </c>
      <c r="H38" s="52">
        <f>500*'Output Schedule'!G17/100000</f>
        <v>1.6875</v>
      </c>
      <c r="I38" s="52">
        <f>500*'Output Schedule'!H17/100000</f>
        <v>1.8</v>
      </c>
      <c r="J38" s="52">
        <f>500*'Output Schedule'!I17/100000</f>
        <v>1.9125000000000001</v>
      </c>
      <c r="K38" s="52">
        <f>500*'Output Schedule'!J17/100000</f>
        <v>2.0249999999999999</v>
      </c>
      <c r="L38" s="52">
        <f>500*'Output Schedule'!K17/100000</f>
        <v>2.1375000000000002</v>
      </c>
      <c r="M38"/>
      <c r="N38" s="53">
        <f>180000/15000</f>
        <v>12</v>
      </c>
      <c r="O38" s="292"/>
      <c r="P38" s="68"/>
      <c r="Q38" s="68"/>
    </row>
    <row r="39" spans="1:17" ht="15" x14ac:dyDescent="0.25">
      <c r="A39" s="51" t="s">
        <v>152</v>
      </c>
      <c r="B39" s="69" t="s">
        <v>108</v>
      </c>
      <c r="C39" s="52">
        <f>300*'Output Schedule'!B45/100000</f>
        <v>0.45</v>
      </c>
      <c r="D39" s="52">
        <f>300*'Output Schedule'!C45/100000</f>
        <v>0.498</v>
      </c>
      <c r="E39" s="52">
        <f>300*'Output Schedule'!D45/100000</f>
        <v>0.54</v>
      </c>
      <c r="F39" s="52">
        <f>300*'Output Schedule'!E45/100000</f>
        <v>0.58799999999999997</v>
      </c>
      <c r="G39" s="52">
        <f>300*'Output Schedule'!F45/100000</f>
        <v>0.63</v>
      </c>
      <c r="H39" s="52">
        <f>300*'Output Schedule'!G45/100000</f>
        <v>0.67800000000000005</v>
      </c>
      <c r="I39" s="52">
        <f>300*'Output Schedule'!H45/100000</f>
        <v>0.72</v>
      </c>
      <c r="J39" s="52">
        <f>300*'Output Schedule'!I45/100000</f>
        <v>0.76800000000000002</v>
      </c>
      <c r="K39" s="52">
        <f>300*'Output Schedule'!J45/100000</f>
        <v>0.81</v>
      </c>
      <c r="L39" s="52">
        <f>300*'Output Schedule'!K45/100000</f>
        <v>0.85799999999999998</v>
      </c>
      <c r="M39"/>
      <c r="O39" s="292"/>
      <c r="P39" s="68"/>
      <c r="Q39" s="68"/>
    </row>
    <row r="40" spans="1:17" ht="15" x14ac:dyDescent="0.25">
      <c r="A40" s="51" t="s">
        <v>153</v>
      </c>
      <c r="B40" s="69" t="s">
        <v>151</v>
      </c>
      <c r="C40" s="52">
        <f>500*('Sales Schedule'!C4+'Sales Schedule'!C8+'Sales Schedule'!C12)/100000</f>
        <v>1.0549999999999999</v>
      </c>
      <c r="D40" s="52">
        <f>500*('Sales Schedule'!D4+'Sales Schedule'!D8+'Sales Schedule'!D12)/100000</f>
        <v>1.2050000000000001</v>
      </c>
      <c r="E40" s="52">
        <f>500*('Sales Schedule'!E4+'Sales Schedule'!E8+'Sales Schedule'!E12)/100000</f>
        <v>1.32</v>
      </c>
      <c r="F40" s="52">
        <f>500*('Sales Schedule'!F4+'Sales Schedule'!F8+'Sales Schedule'!F12)/100000</f>
        <v>1.4350000000000001</v>
      </c>
      <c r="G40" s="52">
        <f>500*('Sales Schedule'!G4+'Sales Schedule'!G8+'Sales Schedule'!G12)/100000</f>
        <v>1.54</v>
      </c>
      <c r="H40" s="52">
        <f>500*('Sales Schedule'!H4+'Sales Schedule'!H8+'Sales Schedule'!H12)/100000</f>
        <v>1.64</v>
      </c>
      <c r="I40" s="52">
        <f>500*('Sales Schedule'!I4+'Sales Schedule'!I8+'Sales Schedule'!I12)/100000</f>
        <v>1.7649999999999999</v>
      </c>
      <c r="J40" s="52">
        <f>500*('Sales Schedule'!J4+'Sales Schedule'!J8+'Sales Schedule'!J12)/100000</f>
        <v>1.87</v>
      </c>
      <c r="K40" s="52">
        <f>500*('Sales Schedule'!K4+'Sales Schedule'!K8+'Sales Schedule'!K12)/100000</f>
        <v>1.98</v>
      </c>
      <c r="L40" s="52">
        <f>500*('Sales Schedule'!L4+'Sales Schedule'!L8+'Sales Schedule'!L12)/100000</f>
        <v>2.085</v>
      </c>
      <c r="M40"/>
      <c r="O40" s="68"/>
      <c r="P40" s="68"/>
      <c r="Q40" s="68"/>
    </row>
    <row r="41" spans="1:17" ht="15" x14ac:dyDescent="0.25">
      <c r="A41" s="51" t="s">
        <v>154</v>
      </c>
      <c r="B41" s="69" t="s">
        <v>624</v>
      </c>
      <c r="C41" s="52">
        <f>500*'Output Schedule'!B45/100000</f>
        <v>0.75</v>
      </c>
      <c r="D41" s="52">
        <f>500*'Output Schedule'!C45/100000</f>
        <v>0.83</v>
      </c>
      <c r="E41" s="52">
        <f>500*'Output Schedule'!D45/100000</f>
        <v>0.9</v>
      </c>
      <c r="F41" s="52">
        <f>500*'Output Schedule'!E45/100000</f>
        <v>0.98</v>
      </c>
      <c r="G41" s="52">
        <f>500*'Output Schedule'!F45/100000</f>
        <v>1.05</v>
      </c>
      <c r="H41" s="52">
        <f>500*'Output Schedule'!G45/100000</f>
        <v>1.1299999999999999</v>
      </c>
      <c r="I41" s="52">
        <f>500*'Output Schedule'!H45/100000</f>
        <v>1.2</v>
      </c>
      <c r="J41" s="52">
        <f>500*'Output Schedule'!I45/100000</f>
        <v>1.28</v>
      </c>
      <c r="K41" s="52">
        <f>500*'Output Schedule'!J45/100000</f>
        <v>1.35</v>
      </c>
      <c r="L41" s="52">
        <f>500*'Output Schedule'!K45/100000</f>
        <v>1.43</v>
      </c>
      <c r="M41"/>
      <c r="O41" s="68"/>
      <c r="P41" s="68"/>
      <c r="Q41" s="68"/>
    </row>
    <row r="42" spans="1:17" ht="15" x14ac:dyDescent="0.25">
      <c r="A42" s="51"/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/>
      <c r="O42" s="68"/>
      <c r="P42" s="68"/>
      <c r="Q42" s="68"/>
    </row>
    <row r="43" spans="1:17" x14ac:dyDescent="0.2">
      <c r="A43" s="62" t="s">
        <v>155</v>
      </c>
      <c r="B43" s="62"/>
      <c r="C43" s="66">
        <f>SUM(C31:C42)</f>
        <v>12.478999999999999</v>
      </c>
      <c r="D43" s="66">
        <f t="shared" ref="D43:L43" si="22">SUM(D31:D42)</f>
        <v>14.334940000000001</v>
      </c>
      <c r="E43" s="66">
        <f t="shared" si="22"/>
        <v>16.115199999999998</v>
      </c>
      <c r="F43" s="66">
        <f t="shared" si="22"/>
        <v>18.122140000000002</v>
      </c>
      <c r="G43" s="66">
        <f t="shared" si="22"/>
        <v>20.066400000000002</v>
      </c>
      <c r="H43" s="66">
        <f t="shared" si="22"/>
        <v>22.244340000000001</v>
      </c>
      <c r="I43" s="66">
        <f t="shared" si="22"/>
        <v>24.382600000000004</v>
      </c>
      <c r="J43" s="66">
        <f t="shared" si="22"/>
        <v>25.975540000000006</v>
      </c>
      <c r="K43" s="66">
        <f t="shared" si="22"/>
        <v>27.412800000000004</v>
      </c>
      <c r="L43" s="66">
        <f t="shared" si="22"/>
        <v>29.005740000000003</v>
      </c>
      <c r="O43" s="68"/>
      <c r="P43" s="68"/>
      <c r="Q43" s="68"/>
    </row>
    <row r="44" spans="1:17" x14ac:dyDescent="0.2">
      <c r="O44" s="68"/>
      <c r="P44" s="68"/>
      <c r="Q44" s="68"/>
    </row>
    <row r="45" spans="1:17" x14ac:dyDescent="0.2">
      <c r="O45" s="68"/>
      <c r="P45" s="68"/>
      <c r="Q45" s="68"/>
    </row>
    <row r="46" spans="1:17" x14ac:dyDescent="0.2">
      <c r="O46" s="68"/>
      <c r="P46" s="68"/>
      <c r="Q46" s="68"/>
    </row>
    <row r="47" spans="1:17" x14ac:dyDescent="0.2">
      <c r="M47" s="70"/>
      <c r="O47" s="68"/>
      <c r="P47" s="68"/>
      <c r="Q47" s="68"/>
    </row>
    <row r="48" spans="1:17" x14ac:dyDescent="0.2">
      <c r="O48" s="68"/>
      <c r="P48" s="68"/>
      <c r="Q48" s="68"/>
    </row>
    <row r="49" spans="15:17" x14ac:dyDescent="0.2">
      <c r="O49" s="68"/>
      <c r="P49" s="68"/>
      <c r="Q49" s="68"/>
    </row>
    <row r="50" spans="15:17" x14ac:dyDescent="0.2">
      <c r="O50" s="68"/>
      <c r="P50" s="68"/>
      <c r="Q50" s="68"/>
    </row>
    <row r="51" spans="15:17" x14ac:dyDescent="0.2">
      <c r="O51" s="68"/>
      <c r="P51" s="68"/>
      <c r="Q51" s="68"/>
    </row>
    <row r="52" spans="15:17" x14ac:dyDescent="0.2">
      <c r="O52" s="68"/>
      <c r="P52" s="68"/>
      <c r="Q52" s="68"/>
    </row>
    <row r="53" spans="15:17" x14ac:dyDescent="0.2">
      <c r="O53" s="68"/>
      <c r="P53" s="68"/>
      <c r="Q53" s="68"/>
    </row>
    <row r="54" spans="15:17" x14ac:dyDescent="0.2">
      <c r="O54" s="68"/>
      <c r="P54" s="68"/>
      <c r="Q54" s="68"/>
    </row>
    <row r="55" spans="15:17" x14ac:dyDescent="0.2">
      <c r="O55" s="68"/>
      <c r="P55" s="68"/>
      <c r="Q55" s="68"/>
    </row>
    <row r="56" spans="15:17" x14ac:dyDescent="0.2">
      <c r="O56" s="68"/>
      <c r="P56" s="68"/>
      <c r="Q56" s="68"/>
    </row>
    <row r="57" spans="15:17" x14ac:dyDescent="0.2">
      <c r="O57" s="68"/>
      <c r="P57" s="68"/>
      <c r="Q57" s="68"/>
    </row>
    <row r="58" spans="15:17" x14ac:dyDescent="0.2">
      <c r="O58" s="68"/>
      <c r="P58" s="68"/>
      <c r="Q58" s="68"/>
    </row>
    <row r="59" spans="15:17" x14ac:dyDescent="0.2">
      <c r="O59" s="68"/>
      <c r="P59" s="68"/>
      <c r="Q59" s="68"/>
    </row>
    <row r="60" spans="15:17" s="70" customFormat="1" x14ac:dyDescent="0.2">
      <c r="O60" s="68"/>
      <c r="P60" s="68"/>
      <c r="Q60" s="68"/>
    </row>
    <row r="61" spans="15:17" x14ac:dyDescent="0.2">
      <c r="O61" s="68"/>
      <c r="P61" s="68"/>
      <c r="Q61" s="68"/>
    </row>
  </sheetData>
  <mergeCells count="4">
    <mergeCell ref="N2:Q2"/>
    <mergeCell ref="N6:Q6"/>
    <mergeCell ref="A4:L4"/>
    <mergeCell ref="A30:L30"/>
  </mergeCells>
  <pageMargins left="0.7" right="0.7" top="0.75" bottom="0.75" header="0.3" footer="0.3"/>
  <pageSetup scale="67" orientation="portrait" r:id="rId1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:H12"/>
    </sheetView>
  </sheetViews>
  <sheetFormatPr defaultRowHeight="15" x14ac:dyDescent="0.25"/>
  <cols>
    <col min="1" max="1" width="27.140625" bestFit="1" customWidth="1"/>
    <col min="2" max="8" width="11.5703125" customWidth="1"/>
  </cols>
  <sheetData>
    <row r="1" spans="1:8" x14ac:dyDescent="0.25">
      <c r="A1" s="361" t="s">
        <v>426</v>
      </c>
      <c r="B1" s="361"/>
      <c r="C1" s="361"/>
      <c r="D1" s="361"/>
      <c r="E1" s="361"/>
      <c r="F1" s="361"/>
      <c r="G1" s="361"/>
      <c r="H1" s="361"/>
    </row>
    <row r="2" spans="1:8" x14ac:dyDescent="0.25">
      <c r="A2" s="15" t="s">
        <v>1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</row>
    <row r="3" spans="1:8" x14ac:dyDescent="0.25">
      <c r="A3" s="36"/>
      <c r="B3" s="36"/>
      <c r="C3" s="36"/>
      <c r="D3" s="36"/>
      <c r="E3" s="36"/>
      <c r="F3" s="36"/>
      <c r="G3" s="18"/>
      <c r="H3" s="18"/>
    </row>
    <row r="4" spans="1:8" x14ac:dyDescent="0.25">
      <c r="A4" s="36" t="s">
        <v>141</v>
      </c>
      <c r="B4" s="72">
        <f>'P&amp;L'!B25</f>
        <v>12.478999999999999</v>
      </c>
      <c r="C4" s="72">
        <f>'P&amp;L'!C25</f>
        <v>14.334940000000001</v>
      </c>
      <c r="D4" s="72">
        <f>'P&amp;L'!D25</f>
        <v>16.115199999999998</v>
      </c>
      <c r="E4" s="72">
        <f>'P&amp;L'!E25</f>
        <v>18.122140000000002</v>
      </c>
      <c r="F4" s="72">
        <f>'P&amp;L'!F25</f>
        <v>20.066400000000002</v>
      </c>
      <c r="G4" s="72">
        <f>'P&amp;L'!G25</f>
        <v>22.244340000000001</v>
      </c>
      <c r="H4" s="72">
        <f>'P&amp;L'!H25</f>
        <v>24.382600000000004</v>
      </c>
    </row>
    <row r="5" spans="1:8" x14ac:dyDescent="0.25">
      <c r="A5" s="36" t="s">
        <v>111</v>
      </c>
      <c r="B5" s="73">
        <f>'P&amp;L'!B23</f>
        <v>13.976649999999999</v>
      </c>
      <c r="C5" s="73">
        <f>'P&amp;L'!C23</f>
        <v>14.670482500000002</v>
      </c>
      <c r="D5" s="73">
        <f>'P&amp;L'!D23</f>
        <v>15.399006625</v>
      </c>
      <c r="E5" s="73">
        <f>'P&amp;L'!E23</f>
        <v>16.163956956250004</v>
      </c>
      <c r="F5" s="73">
        <f>'P&amp;L'!F23</f>
        <v>16.967154804062503</v>
      </c>
      <c r="G5" s="73">
        <f>'P&amp;L'!G23</f>
        <v>17.810512544265631</v>
      </c>
      <c r="H5" s="73">
        <f>'P&amp;L'!H23</f>
        <v>18.696038171478911</v>
      </c>
    </row>
    <row r="6" spans="1:8" hidden="1" x14ac:dyDescent="0.25">
      <c r="A6" s="36" t="s">
        <v>428</v>
      </c>
      <c r="B6" s="73">
        <f>'Purchase Schedule'!B9</f>
        <v>227.37</v>
      </c>
      <c r="C6" s="73">
        <f>'Purchase Schedule'!C9</f>
        <v>254.06299999999999</v>
      </c>
      <c r="D6" s="73">
        <f>'Purchase Schedule'!D9</f>
        <v>290.51010000000002</v>
      </c>
      <c r="E6" s="73">
        <f>'Purchase Schedule'!E9</f>
        <v>330.12900000000002</v>
      </c>
      <c r="F6" s="73">
        <f>'Purchase Schedule'!F9</f>
        <v>373.4452</v>
      </c>
      <c r="G6" s="73">
        <f>'Purchase Schedule'!G9</f>
        <v>419.79809999999998</v>
      </c>
      <c r="H6" s="73">
        <f>'Purchase Schedule'!H9</f>
        <v>470.35860000000002</v>
      </c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36" t="s">
        <v>427</v>
      </c>
      <c r="B8" s="44">
        <f>(B4+B5)/12</f>
        <v>2.2046375</v>
      </c>
      <c r="C8" s="44">
        <f t="shared" ref="C8:H8" si="0">(C4+C5)/12</f>
        <v>2.417118541666667</v>
      </c>
      <c r="D8" s="44">
        <f t="shared" si="0"/>
        <v>2.6261838854166668</v>
      </c>
      <c r="E8" s="44">
        <f t="shared" si="0"/>
        <v>2.857174746354167</v>
      </c>
      <c r="F8" s="44">
        <f t="shared" si="0"/>
        <v>3.0861295670052087</v>
      </c>
      <c r="G8" s="44">
        <f t="shared" si="0"/>
        <v>3.3379043786888025</v>
      </c>
      <c r="H8" s="44">
        <f t="shared" si="0"/>
        <v>3.5898865142899097</v>
      </c>
    </row>
    <row r="9" spans="1:8" x14ac:dyDescent="0.25">
      <c r="A9" s="36" t="s">
        <v>457</v>
      </c>
      <c r="B9" s="44">
        <f>'CS-RM'!B31+'CS-FG'!C123</f>
        <v>19.395000000000003</v>
      </c>
      <c r="C9" s="44">
        <f>'CS-RM'!C31+'CS-FG'!D123</f>
        <v>22.667200000000001</v>
      </c>
      <c r="D9" s="44">
        <f>'CS-RM'!D31+'CS-FG'!E123</f>
        <v>26.8781</v>
      </c>
      <c r="E9" s="44">
        <f>'CS-RM'!E31+'CS-FG'!F123</f>
        <v>28.953299999999999</v>
      </c>
      <c r="F9" s="44">
        <f>'CS-RM'!F31+'CS-FG'!G123</f>
        <v>33.794700000000006</v>
      </c>
      <c r="G9" s="44">
        <f>'CS-RM'!G31+'CS-FG'!H123</f>
        <v>37.631399999999999</v>
      </c>
      <c r="H9" s="44">
        <f>'CS-RM'!H31+'CS-FG'!I123</f>
        <v>42.317099999999996</v>
      </c>
    </row>
    <row r="10" spans="1:8" x14ac:dyDescent="0.25">
      <c r="A10" s="36" t="s">
        <v>429</v>
      </c>
      <c r="B10" s="73">
        <f>'Production Level Support'!B3</f>
        <v>0</v>
      </c>
      <c r="C10" s="73">
        <f>'Production Level Support'!C3</f>
        <v>0</v>
      </c>
      <c r="D10" s="73">
        <f>'Production Level Support'!D3</f>
        <v>0</v>
      </c>
      <c r="E10" s="73">
        <f>'Production Level Support'!E3</f>
        <v>0</v>
      </c>
      <c r="F10" s="73">
        <f>'Production Level Support'!F3</f>
        <v>0</v>
      </c>
      <c r="G10" s="73">
        <f>'Production Level Support'!G3</f>
        <v>0</v>
      </c>
      <c r="H10" s="73">
        <f>'Production Level Support'!H3</f>
        <v>0</v>
      </c>
    </row>
    <row r="11" spans="1:8" x14ac:dyDescent="0.25">
      <c r="A11" s="36" t="s">
        <v>455</v>
      </c>
      <c r="B11" s="73">
        <f>BS!C45</f>
        <v>0</v>
      </c>
      <c r="C11" s="73">
        <f>BS!D45</f>
        <v>0</v>
      </c>
      <c r="D11" s="73">
        <f>BS!E45</f>
        <v>0</v>
      </c>
      <c r="E11" s="73">
        <f>BS!F45</f>
        <v>0</v>
      </c>
      <c r="F11" s="73">
        <f>BS!G45</f>
        <v>0</v>
      </c>
      <c r="G11" s="73">
        <f>BS!H45</f>
        <v>0</v>
      </c>
      <c r="H11" s="73">
        <f>BS!I45</f>
        <v>0</v>
      </c>
    </row>
    <row r="12" spans="1:8" x14ac:dyDescent="0.25">
      <c r="A12" s="36" t="s">
        <v>29</v>
      </c>
      <c r="B12" s="175">
        <f>SUM(B8:B11)</f>
        <v>21.599637500000004</v>
      </c>
      <c r="C12" s="175">
        <f t="shared" ref="C12:H12" si="1">SUM(C8:C11)</f>
        <v>25.084318541666669</v>
      </c>
      <c r="D12" s="175">
        <f t="shared" si="1"/>
        <v>29.504283885416665</v>
      </c>
      <c r="E12" s="175">
        <f t="shared" si="1"/>
        <v>31.810474746354167</v>
      </c>
      <c r="F12" s="175">
        <f t="shared" si="1"/>
        <v>36.880829567005215</v>
      </c>
      <c r="G12" s="175">
        <f t="shared" si="1"/>
        <v>40.969304378688804</v>
      </c>
      <c r="H12" s="175">
        <f t="shared" si="1"/>
        <v>45.906986514289905</v>
      </c>
    </row>
    <row r="13" spans="1:8" x14ac:dyDescent="0.25">
      <c r="A13" s="36"/>
      <c r="B13" s="73"/>
      <c r="C13" s="73"/>
      <c r="D13" s="73"/>
      <c r="E13" s="73"/>
      <c r="F13" s="73"/>
      <c r="G13" s="73"/>
      <c r="H13" s="73"/>
    </row>
    <row r="14" spans="1:8" x14ac:dyDescent="0.25">
      <c r="A14" s="36" t="s">
        <v>166</v>
      </c>
      <c r="B14" s="42">
        <f>B12*0.25</f>
        <v>5.3999093750000009</v>
      </c>
      <c r="C14" s="42">
        <f t="shared" ref="C14:H14" si="2">C12*0.25</f>
        <v>6.2710796354166671</v>
      </c>
      <c r="D14" s="42">
        <f t="shared" si="2"/>
        <v>7.3760709713541663</v>
      </c>
      <c r="E14" s="42">
        <f t="shared" si="2"/>
        <v>7.9526186865885418</v>
      </c>
      <c r="F14" s="42">
        <f t="shared" si="2"/>
        <v>9.2202073917513037</v>
      </c>
      <c r="G14" s="42">
        <f t="shared" si="2"/>
        <v>10.242326094672201</v>
      </c>
      <c r="H14" s="42">
        <f t="shared" si="2"/>
        <v>11.476746628572476</v>
      </c>
    </row>
    <row r="15" spans="1:8" x14ac:dyDescent="0.25">
      <c r="A15" s="36"/>
      <c r="B15" s="36"/>
      <c r="C15" s="36"/>
      <c r="D15" s="36"/>
      <c r="E15" s="36"/>
      <c r="F15" s="36"/>
      <c r="G15" s="18"/>
      <c r="H15" s="18"/>
    </row>
    <row r="16" spans="1:8" x14ac:dyDescent="0.25">
      <c r="A16" s="36" t="s">
        <v>167</v>
      </c>
      <c r="B16" s="44">
        <f>B12-B14</f>
        <v>16.199728125000004</v>
      </c>
      <c r="C16" s="44">
        <f t="shared" ref="C16:H16" si="3">C12-C14</f>
        <v>18.81323890625</v>
      </c>
      <c r="D16" s="44">
        <f t="shared" si="3"/>
        <v>22.128212914062498</v>
      </c>
      <c r="E16" s="44">
        <f t="shared" si="3"/>
        <v>23.857856059765624</v>
      </c>
      <c r="F16" s="44">
        <f t="shared" si="3"/>
        <v>27.660622175253913</v>
      </c>
      <c r="G16" s="44">
        <f t="shared" si="3"/>
        <v>30.726978284016603</v>
      </c>
      <c r="H16" s="44">
        <f t="shared" si="3"/>
        <v>34.430239885717427</v>
      </c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="60" zoomScaleNormal="100" workbookViewId="0">
      <selection activeCell="B3" sqref="B3"/>
    </sheetView>
  </sheetViews>
  <sheetFormatPr defaultRowHeight="15" x14ac:dyDescent="0.25"/>
  <cols>
    <col min="1" max="1" width="22" bestFit="1" customWidth="1"/>
    <col min="2" max="2" width="14.140625" customWidth="1"/>
  </cols>
  <sheetData>
    <row r="1" spans="1:12" s="3" customFormat="1" x14ac:dyDescent="0.25">
      <c r="A1" s="264" t="s">
        <v>1</v>
      </c>
      <c r="B1" s="26"/>
      <c r="C1" s="26" t="s">
        <v>36</v>
      </c>
      <c r="D1" s="26" t="s">
        <v>37</v>
      </c>
      <c r="E1" s="26" t="s">
        <v>38</v>
      </c>
      <c r="F1" s="26" t="s">
        <v>39</v>
      </c>
      <c r="G1" s="26" t="s">
        <v>40</v>
      </c>
      <c r="H1" s="8" t="s">
        <v>41</v>
      </c>
      <c r="I1" s="8" t="s">
        <v>42</v>
      </c>
      <c r="J1" s="8" t="s">
        <v>495</v>
      </c>
      <c r="K1" s="8" t="s">
        <v>496</v>
      </c>
      <c r="L1" s="8" t="s">
        <v>497</v>
      </c>
    </row>
    <row r="2" spans="1:12" x14ac:dyDescent="0.25">
      <c r="A2" s="173"/>
      <c r="B2" s="36"/>
      <c r="C2" s="36"/>
      <c r="D2" s="36"/>
      <c r="E2" s="36"/>
      <c r="F2" s="36"/>
      <c r="G2" s="36"/>
      <c r="H2" s="6"/>
      <c r="I2" s="6"/>
      <c r="J2" s="6"/>
      <c r="K2" s="6"/>
      <c r="L2" s="6"/>
    </row>
    <row r="3" spans="1:12" x14ac:dyDescent="0.25">
      <c r="A3" s="173" t="s">
        <v>591</v>
      </c>
      <c r="B3" s="42">
        <f>+'Capital Cost'!C43</f>
        <v>4.7954999999999997</v>
      </c>
      <c r="C3" s="42"/>
      <c r="D3" s="42"/>
      <c r="E3" s="42"/>
      <c r="F3" s="42"/>
      <c r="G3" s="42"/>
      <c r="H3" s="9"/>
      <c r="I3" s="9"/>
      <c r="J3" s="9"/>
      <c r="K3" s="9"/>
      <c r="L3" s="9"/>
    </row>
    <row r="4" spans="1:12" x14ac:dyDescent="0.25">
      <c r="A4" s="173" t="s">
        <v>592</v>
      </c>
      <c r="B4" s="42">
        <v>0.1</v>
      </c>
      <c r="C4" s="42"/>
      <c r="D4" s="42"/>
      <c r="E4" s="42"/>
      <c r="F4" s="42"/>
      <c r="G4" s="42"/>
      <c r="H4" s="9"/>
      <c r="I4" s="9"/>
      <c r="J4" s="9"/>
      <c r="K4" s="9"/>
      <c r="L4" s="9"/>
    </row>
    <row r="5" spans="1:12" x14ac:dyDescent="0.25">
      <c r="A5" s="173" t="s">
        <v>590</v>
      </c>
      <c r="B5" s="42"/>
      <c r="C5" s="42">
        <f>'P&amp;L'!B27</f>
        <v>0.47954999999999998</v>
      </c>
      <c r="D5" s="42">
        <f>'P&amp;L'!C27</f>
        <v>0.47954999999999998</v>
      </c>
      <c r="E5" s="42">
        <f>'P&amp;L'!D27</f>
        <v>0.47954999999999998</v>
      </c>
      <c r="F5" s="42">
        <f>'P&amp;L'!E27</f>
        <v>0.47954999999999998</v>
      </c>
      <c r="G5" s="42">
        <f>'P&amp;L'!F27</f>
        <v>0.47954999999999998</v>
      </c>
      <c r="H5" s="9">
        <f>'P&amp;L'!G27</f>
        <v>0.47954999999999998</v>
      </c>
      <c r="I5" s="9">
        <f>'P&amp;L'!H27</f>
        <v>0.47954999999999998</v>
      </c>
      <c r="J5" s="9">
        <f>'P&amp;L'!I27</f>
        <v>0.47954999999999998</v>
      </c>
      <c r="K5" s="9">
        <f>'P&amp;L'!J27</f>
        <v>0.47954999999999998</v>
      </c>
      <c r="L5" s="9">
        <f>'P&amp;L'!K27</f>
        <v>0.47954999999999998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BreakPreview" topLeftCell="A6" zoomScale="40" zoomScaleNormal="100" zoomScaleSheetLayoutView="40" workbookViewId="0">
      <selection activeCell="A2" sqref="A2:L15"/>
    </sheetView>
  </sheetViews>
  <sheetFormatPr defaultColWidth="9.140625" defaultRowHeight="15" x14ac:dyDescent="0.25"/>
  <cols>
    <col min="1" max="1" width="9.140625" style="1"/>
    <col min="2" max="2" width="24.140625" style="1" bestFit="1" customWidth="1"/>
    <col min="3" max="7" width="12" style="1" bestFit="1" customWidth="1"/>
    <col min="8" max="9" width="7.85546875" style="1" bestFit="1" customWidth="1"/>
    <col min="10" max="16384" width="9.140625" style="1"/>
  </cols>
  <sheetData>
    <row r="2" spans="1:12" x14ac:dyDescent="0.25">
      <c r="A2" s="15" t="s">
        <v>631</v>
      </c>
      <c r="B2" s="15" t="s">
        <v>1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  <c r="I2" s="15" t="s">
        <v>42</v>
      </c>
      <c r="J2" s="15" t="s">
        <v>495</v>
      </c>
      <c r="K2" s="15" t="s">
        <v>496</v>
      </c>
      <c r="L2" s="15" t="s">
        <v>497</v>
      </c>
    </row>
    <row r="3" spans="1:12" x14ac:dyDescent="0.25">
      <c r="A3" s="36"/>
      <c r="B3" s="36"/>
      <c r="C3" s="36"/>
      <c r="D3" s="36"/>
      <c r="E3" s="36"/>
      <c r="F3" s="36"/>
      <c r="G3" s="36"/>
      <c r="H3" s="6"/>
      <c r="I3" s="6"/>
      <c r="J3" s="6"/>
      <c r="K3" s="6"/>
      <c r="L3" s="6"/>
    </row>
    <row r="4" spans="1:12" x14ac:dyDescent="0.25">
      <c r="A4" s="172">
        <v>1</v>
      </c>
      <c r="B4" s="36" t="s">
        <v>391</v>
      </c>
      <c r="C4" s="72">
        <f>BS!C36</f>
        <v>20.539583333333336</v>
      </c>
      <c r="D4" s="72">
        <f>BS!D36</f>
        <v>24.680468750000003</v>
      </c>
      <c r="E4" s="72">
        <f>BS!E36</f>
        <v>28.168458333333337</v>
      </c>
      <c r="F4" s="72">
        <f>BS!F36</f>
        <v>32.238997916666669</v>
      </c>
      <c r="G4" s="72">
        <f>BS!G36</f>
        <v>36.326529166666667</v>
      </c>
      <c r="H4" s="72">
        <f>BS!H36</f>
        <v>40.836189583333336</v>
      </c>
      <c r="I4" s="72">
        <f>BS!I36</f>
        <v>45.765133333333345</v>
      </c>
      <c r="J4" s="72">
        <f>BS!J36</f>
        <v>50.983935416666675</v>
      </c>
      <c r="K4" s="72">
        <f>BS!K36</f>
        <v>56.740562500000003</v>
      </c>
      <c r="L4" s="72">
        <f>BS!L36</f>
        <v>62.900043750000002</v>
      </c>
    </row>
    <row r="5" spans="1:12" x14ac:dyDescent="0.25">
      <c r="A5" s="172">
        <v>2</v>
      </c>
      <c r="B5" s="36" t="s">
        <v>392</v>
      </c>
      <c r="C5" s="72">
        <f>BS!C40+BS!C41</f>
        <v>19.395000000000003</v>
      </c>
      <c r="D5" s="72">
        <f>BS!D40+BS!D41</f>
        <v>22.667200000000001</v>
      </c>
      <c r="E5" s="72">
        <f>BS!E40+BS!E41</f>
        <v>26.8781</v>
      </c>
      <c r="F5" s="72">
        <f>BS!F40+BS!F41</f>
        <v>28.953299999999999</v>
      </c>
      <c r="G5" s="72">
        <f>BS!G40+BS!G41</f>
        <v>33.794700000000006</v>
      </c>
      <c r="H5" s="72">
        <f>BS!H40+BS!H41</f>
        <v>37.631399999999999</v>
      </c>
      <c r="I5" s="72">
        <f>BS!I40+BS!I41</f>
        <v>42.317099999999996</v>
      </c>
      <c r="J5" s="72">
        <f>BS!J40+BS!J41</f>
        <v>47.236499999999999</v>
      </c>
      <c r="K5" s="72">
        <f>BS!K40+BS!K41</f>
        <v>52.969400000000007</v>
      </c>
      <c r="L5" s="72">
        <f>BS!L40+BS!L41</f>
        <v>59.019200000000005</v>
      </c>
    </row>
    <row r="6" spans="1:12" x14ac:dyDescent="0.25">
      <c r="A6" s="172">
        <v>3</v>
      </c>
      <c r="B6" s="36" t="s">
        <v>393</v>
      </c>
      <c r="C6" s="73">
        <f>BS!C22</f>
        <v>21.152137499999998</v>
      </c>
      <c r="D6" s="73">
        <f>BS!D22</f>
        <v>23.589035208333332</v>
      </c>
      <c r="E6" s="73">
        <f>BS!E22</f>
        <v>26.835358885416671</v>
      </c>
      <c r="F6" s="73">
        <f>BS!F22</f>
        <v>30.367924746354166</v>
      </c>
      <c r="G6" s="73">
        <f>BS!G22</f>
        <v>34.20656290033854</v>
      </c>
      <c r="H6" s="73">
        <f>BS!H22</f>
        <v>38.3210793786888</v>
      </c>
      <c r="I6" s="73">
        <f>BS!I22</f>
        <v>42.78643651428991</v>
      </c>
      <c r="J6" s="73">
        <f>BS!J22</f>
        <v>47.556915006671069</v>
      </c>
      <c r="K6" s="73">
        <f>BS!K22</f>
        <v>52.537194340337955</v>
      </c>
      <c r="L6" s="73">
        <f>BS!L22</f>
        <v>58.116114890688188</v>
      </c>
    </row>
    <row r="7" spans="1:12" x14ac:dyDescent="0.25">
      <c r="A7" s="73"/>
      <c r="B7" s="36"/>
      <c r="C7" s="73"/>
      <c r="D7" s="73"/>
      <c r="E7" s="73"/>
      <c r="F7" s="73"/>
      <c r="G7" s="73"/>
      <c r="H7" s="73"/>
      <c r="I7" s="73"/>
      <c r="J7" s="6"/>
      <c r="K7" s="6"/>
      <c r="L7" s="6"/>
    </row>
    <row r="8" spans="1:12" hidden="1" x14ac:dyDescent="0.25">
      <c r="A8" s="173"/>
      <c r="B8" s="36" t="s">
        <v>424</v>
      </c>
      <c r="C8" s="44">
        <f t="shared" ref="C8:L8" si="0">C4+C5-C6</f>
        <v>18.782445833333338</v>
      </c>
      <c r="D8" s="44">
        <f t="shared" si="0"/>
        <v>23.758633541666672</v>
      </c>
      <c r="E8" s="44">
        <f t="shared" si="0"/>
        <v>28.211199447916666</v>
      </c>
      <c r="F8" s="44">
        <f t="shared" si="0"/>
        <v>30.824373170312501</v>
      </c>
      <c r="G8" s="44">
        <f t="shared" si="0"/>
        <v>35.914666266328126</v>
      </c>
      <c r="H8" s="44">
        <f t="shared" si="0"/>
        <v>40.146510204644535</v>
      </c>
      <c r="I8" s="44">
        <f t="shared" si="0"/>
        <v>45.295796819043424</v>
      </c>
      <c r="J8" s="44">
        <f t="shared" si="0"/>
        <v>50.663520409995606</v>
      </c>
      <c r="K8" s="44">
        <f t="shared" si="0"/>
        <v>57.172768159662063</v>
      </c>
      <c r="L8" s="44">
        <f t="shared" si="0"/>
        <v>63.803128859311819</v>
      </c>
    </row>
    <row r="9" spans="1:12" hidden="1" x14ac:dyDescent="0.25">
      <c r="A9" s="173"/>
      <c r="B9" s="36"/>
      <c r="C9" s="73"/>
      <c r="D9" s="73"/>
      <c r="E9" s="73"/>
      <c r="F9" s="73"/>
      <c r="G9" s="73"/>
      <c r="H9" s="73"/>
      <c r="I9" s="73"/>
      <c r="J9" s="6"/>
      <c r="K9" s="6"/>
      <c r="L9" s="6"/>
    </row>
    <row r="10" spans="1:12" hidden="1" x14ac:dyDescent="0.25">
      <c r="A10" s="173"/>
      <c r="B10" s="36"/>
      <c r="C10" s="73"/>
      <c r="D10" s="73"/>
      <c r="E10" s="73"/>
      <c r="F10" s="73"/>
      <c r="G10" s="73"/>
      <c r="H10" s="73"/>
      <c r="I10" s="73"/>
      <c r="J10" s="6"/>
      <c r="K10" s="6"/>
      <c r="L10" s="6"/>
    </row>
    <row r="11" spans="1:12" ht="30" x14ac:dyDescent="0.25">
      <c r="A11" s="174"/>
      <c r="B11" s="10" t="s">
        <v>425</v>
      </c>
      <c r="C11" s="19">
        <f>C4+C5-C6</f>
        <v>18.782445833333338</v>
      </c>
      <c r="D11" s="19">
        <f t="shared" ref="D11:L11" si="1">D4+D5-D6</f>
        <v>23.758633541666672</v>
      </c>
      <c r="E11" s="19">
        <f t="shared" si="1"/>
        <v>28.211199447916666</v>
      </c>
      <c r="F11" s="19">
        <f t="shared" si="1"/>
        <v>30.824373170312501</v>
      </c>
      <c r="G11" s="19">
        <f t="shared" si="1"/>
        <v>35.914666266328126</v>
      </c>
      <c r="H11" s="19">
        <f t="shared" si="1"/>
        <v>40.146510204644535</v>
      </c>
      <c r="I11" s="19">
        <f t="shared" si="1"/>
        <v>45.295796819043424</v>
      </c>
      <c r="J11" s="19">
        <f t="shared" si="1"/>
        <v>50.663520409995606</v>
      </c>
      <c r="K11" s="19">
        <f t="shared" si="1"/>
        <v>57.172768159662063</v>
      </c>
      <c r="L11" s="19">
        <f t="shared" si="1"/>
        <v>63.803128859311819</v>
      </c>
    </row>
    <row r="12" spans="1:12" x14ac:dyDescent="0.25">
      <c r="A12" s="173"/>
      <c r="B12" s="36"/>
      <c r="C12" s="36"/>
      <c r="D12" s="36"/>
      <c r="E12" s="36"/>
      <c r="F12" s="36"/>
      <c r="G12" s="36"/>
      <c r="H12" s="6"/>
      <c r="I12" s="6"/>
      <c r="J12" s="6"/>
      <c r="K12" s="6"/>
      <c r="L12" s="6"/>
    </row>
    <row r="13" spans="1:12" x14ac:dyDescent="0.25">
      <c r="A13" s="173"/>
      <c r="B13" s="36" t="s">
        <v>166</v>
      </c>
      <c r="C13" s="44">
        <f>C11*0.25</f>
        <v>4.6956114583333344</v>
      </c>
      <c r="D13" s="44">
        <f t="shared" ref="D13:L13" si="2">D11*0.25</f>
        <v>5.939658385416668</v>
      </c>
      <c r="E13" s="44">
        <f t="shared" si="2"/>
        <v>7.0527998619791665</v>
      </c>
      <c r="F13" s="44">
        <f t="shared" si="2"/>
        <v>7.7060932925781254</v>
      </c>
      <c r="G13" s="44">
        <f t="shared" si="2"/>
        <v>8.9786665665820315</v>
      </c>
      <c r="H13" s="44">
        <f t="shared" si="2"/>
        <v>10.036627551161134</v>
      </c>
      <c r="I13" s="44">
        <f t="shared" si="2"/>
        <v>11.323949204760856</v>
      </c>
      <c r="J13" s="44">
        <f t="shared" si="2"/>
        <v>12.665880102498901</v>
      </c>
      <c r="K13" s="44">
        <f t="shared" si="2"/>
        <v>14.293192039915516</v>
      </c>
      <c r="L13" s="44">
        <f t="shared" si="2"/>
        <v>15.950782214827955</v>
      </c>
    </row>
    <row r="14" spans="1:12" x14ac:dyDescent="0.25">
      <c r="A14" s="173"/>
      <c r="B14" s="36"/>
      <c r="C14" s="36"/>
      <c r="D14" s="36"/>
      <c r="E14" s="36"/>
      <c r="F14" s="36"/>
      <c r="G14" s="36"/>
      <c r="H14" s="6"/>
      <c r="I14" s="6"/>
      <c r="J14" s="6"/>
      <c r="K14" s="6"/>
      <c r="L14" s="6"/>
    </row>
    <row r="15" spans="1:12" ht="30" x14ac:dyDescent="0.25">
      <c r="A15" s="173"/>
      <c r="B15" s="268" t="s">
        <v>596</v>
      </c>
      <c r="C15" s="44">
        <f>C11-C13</f>
        <v>14.086834375000002</v>
      </c>
      <c r="D15" s="44">
        <f t="shared" ref="D15:L15" si="3">D11-D13</f>
        <v>17.818975156250005</v>
      </c>
      <c r="E15" s="44">
        <f t="shared" si="3"/>
        <v>21.158399585937499</v>
      </c>
      <c r="F15" s="44">
        <f t="shared" si="3"/>
        <v>23.118279877734377</v>
      </c>
      <c r="G15" s="44">
        <f t="shared" si="3"/>
        <v>26.935999699746095</v>
      </c>
      <c r="H15" s="44">
        <f t="shared" si="3"/>
        <v>30.109882653483403</v>
      </c>
      <c r="I15" s="44">
        <f t="shared" si="3"/>
        <v>33.971847614282566</v>
      </c>
      <c r="J15" s="44">
        <f t="shared" si="3"/>
        <v>37.997640307496702</v>
      </c>
      <c r="K15" s="44">
        <f t="shared" si="3"/>
        <v>42.879576119746545</v>
      </c>
      <c r="L15" s="44">
        <f t="shared" si="3"/>
        <v>47.852346644483866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view="pageBreakPreview" topLeftCell="A12" zoomScale="60" zoomScaleNormal="100" workbookViewId="0">
      <selection activeCell="B27" sqref="B27"/>
    </sheetView>
  </sheetViews>
  <sheetFormatPr defaultColWidth="9.140625" defaultRowHeight="15" x14ac:dyDescent="0.25"/>
  <cols>
    <col min="1" max="1" width="47.5703125" style="1" bestFit="1" customWidth="1"/>
    <col min="2" max="2" width="10.5703125" style="1" bestFit="1" customWidth="1"/>
    <col min="3" max="5" width="9.85546875" style="1" bestFit="1" customWidth="1"/>
    <col min="6" max="6" width="10.85546875" style="1" bestFit="1" customWidth="1"/>
    <col min="7" max="7" width="10.42578125" style="1" bestFit="1" customWidth="1"/>
    <col min="8" max="8" width="10.85546875" style="1" bestFit="1" customWidth="1"/>
    <col min="9" max="9" width="10.5703125" style="1" bestFit="1" customWidth="1"/>
    <col min="10" max="11" width="10.85546875" style="1" bestFit="1" customWidth="1"/>
    <col min="12" max="13" width="9.140625" style="1"/>
    <col min="14" max="14" width="11" style="1" bestFit="1" customWidth="1"/>
    <col min="15" max="16384" width="9.140625" style="1"/>
  </cols>
  <sheetData>
    <row r="2" spans="1:11" x14ac:dyDescent="0.25">
      <c r="A2" s="362" t="s">
        <v>168</v>
      </c>
      <c r="B2" s="363"/>
      <c r="C2" s="363"/>
      <c r="D2" s="363"/>
      <c r="E2" s="363"/>
      <c r="F2" s="363"/>
      <c r="G2" s="363"/>
      <c r="H2" s="348"/>
      <c r="I2" s="348"/>
      <c r="J2" s="348"/>
      <c r="K2" s="348"/>
    </row>
    <row r="3" spans="1:11" x14ac:dyDescent="0.25">
      <c r="A3" s="15" t="s">
        <v>1</v>
      </c>
      <c r="B3" s="74" t="s">
        <v>36</v>
      </c>
      <c r="C3" s="74" t="s">
        <v>37</v>
      </c>
      <c r="D3" s="74" t="s">
        <v>38</v>
      </c>
      <c r="E3" s="74" t="s">
        <v>39</v>
      </c>
      <c r="F3" s="74" t="s">
        <v>40</v>
      </c>
      <c r="G3" s="74" t="s">
        <v>41</v>
      </c>
      <c r="H3" s="74" t="s">
        <v>42</v>
      </c>
      <c r="I3" s="74" t="s">
        <v>495</v>
      </c>
      <c r="J3" s="74" t="s">
        <v>496</v>
      </c>
      <c r="K3" s="74" t="s">
        <v>497</v>
      </c>
    </row>
    <row r="4" spans="1:11" x14ac:dyDescent="0.25">
      <c r="A4" s="8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6" t="s">
        <v>169</v>
      </c>
      <c r="B5" s="45">
        <f>'Sales Schedule'!C45</f>
        <v>235.60000000000002</v>
      </c>
      <c r="C5" s="45">
        <f>'Sales Schedule'!D45</f>
        <v>283.60500000000002</v>
      </c>
      <c r="D5" s="45">
        <f>'Sales Schedule'!E45</f>
        <v>323.63500000000005</v>
      </c>
      <c r="E5" s="45">
        <f>'Sales Schedule'!F45</f>
        <v>370.50260000000003</v>
      </c>
      <c r="F5" s="45">
        <f>'Sales Schedule'!G45</f>
        <v>417.41210000000001</v>
      </c>
      <c r="G5" s="45">
        <f>'Sales Schedule'!H45</f>
        <v>469.49740000000003</v>
      </c>
      <c r="H5" s="45">
        <f>'Sales Schedule'!I45</f>
        <v>526.47760000000005</v>
      </c>
      <c r="I5" s="45">
        <f>'Sales Schedule'!J45</f>
        <v>586.79810000000009</v>
      </c>
      <c r="J5" s="45">
        <f>'Sales Schedule'!K45</f>
        <v>653.08349999999996</v>
      </c>
      <c r="K5" s="45">
        <f>'Sales Schedule'!L45</f>
        <v>723.98489999999993</v>
      </c>
    </row>
    <row r="6" spans="1:11" x14ac:dyDescent="0.25">
      <c r="A6" s="6" t="s">
        <v>737</v>
      </c>
      <c r="B6" s="45">
        <f>'Output Schedule'!B14</f>
        <v>10.875</v>
      </c>
      <c r="C6" s="45">
        <f>'Output Schedule'!C14</f>
        <v>12.560625000000002</v>
      </c>
      <c r="D6" s="45">
        <f>'Output Schedule'!D14</f>
        <v>14.386500000000002</v>
      </c>
      <c r="E6" s="45">
        <f>'Output Schedule'!E14</f>
        <v>16.365375000000004</v>
      </c>
      <c r="F6" s="45">
        <f>'Output Schedule'!F14</f>
        <v>18.506250000000005</v>
      </c>
      <c r="G6" s="45">
        <f>'Output Schedule'!G14</f>
        <v>20.536875000000006</v>
      </c>
      <c r="H6" s="45">
        <f>'Output Schedule'!H14</f>
        <v>22.704000000000008</v>
      </c>
      <c r="I6" s="45">
        <f>'Output Schedule'!I14</f>
        <v>25.009125000000008</v>
      </c>
      <c r="J6" s="45">
        <f>'Output Schedule'!J14</f>
        <v>27.803250000000009</v>
      </c>
      <c r="K6" s="45">
        <f>'Output Schedule'!K14</f>
        <v>30.815625000000015</v>
      </c>
    </row>
    <row r="7" spans="1:11" hidden="1" x14ac:dyDescent="0.25">
      <c r="A7" s="6" t="s">
        <v>423</v>
      </c>
      <c r="B7" s="45">
        <f>'Farm Implement Business'!G10</f>
        <v>0</v>
      </c>
      <c r="C7" s="45">
        <f>'Farm Implement Business'!H10</f>
        <v>0</v>
      </c>
      <c r="D7" s="45">
        <f>'Farm Implement Business'!I10</f>
        <v>0</v>
      </c>
      <c r="E7" s="45">
        <f>'Farm Implement Business'!J10</f>
        <v>0</v>
      </c>
      <c r="F7" s="45">
        <f>'Farm Implement Business'!K10</f>
        <v>0</v>
      </c>
      <c r="G7" s="45">
        <f>'Farm Implement Business'!L10</f>
        <v>0</v>
      </c>
      <c r="H7" s="45">
        <f>'Farm Implement Business'!M10</f>
        <v>0</v>
      </c>
      <c r="I7" s="19"/>
      <c r="J7" s="241"/>
      <c r="K7" s="6"/>
    </row>
    <row r="8" spans="1:11" hidden="1" x14ac:dyDescent="0.25">
      <c r="A8" s="6" t="s">
        <v>622</v>
      </c>
      <c r="B8" s="19">
        <f>+'weigh Bridge'!C14</f>
        <v>0</v>
      </c>
      <c r="C8" s="19">
        <f>+'weigh Bridge'!D14</f>
        <v>0</v>
      </c>
      <c r="D8" s="19">
        <f>+'weigh Bridge'!E14</f>
        <v>0</v>
      </c>
      <c r="E8" s="19">
        <f>+'weigh Bridge'!F14</f>
        <v>0</v>
      </c>
      <c r="F8" s="19">
        <f>+'weigh Bridge'!G14</f>
        <v>0</v>
      </c>
      <c r="G8" s="19">
        <f>+'weigh Bridge'!H14</f>
        <v>0</v>
      </c>
      <c r="H8" s="19">
        <f>+'weigh Bridge'!I14</f>
        <v>0</v>
      </c>
      <c r="I8" s="19">
        <f>+'weigh Bridge'!J14</f>
        <v>0</v>
      </c>
      <c r="J8" s="19">
        <f>+'weigh Bridge'!K14</f>
        <v>0</v>
      </c>
      <c r="K8" s="19">
        <f>+'weigh Bridge'!L14</f>
        <v>0</v>
      </c>
    </row>
    <row r="9" spans="1:11" x14ac:dyDescent="0.25">
      <c r="A9" s="75" t="s">
        <v>170</v>
      </c>
      <c r="B9" s="22">
        <f>SUM(B5:B8)</f>
        <v>246.47500000000002</v>
      </c>
      <c r="C9" s="22">
        <f t="shared" ref="C9:K9" si="0">SUM(C5:C8)</f>
        <v>296.16562500000003</v>
      </c>
      <c r="D9" s="22">
        <f t="shared" si="0"/>
        <v>338.02150000000006</v>
      </c>
      <c r="E9" s="22">
        <f t="shared" si="0"/>
        <v>386.86797500000006</v>
      </c>
      <c r="F9" s="22">
        <f t="shared" si="0"/>
        <v>435.91835000000003</v>
      </c>
      <c r="G9" s="22">
        <f t="shared" si="0"/>
        <v>490.03427500000004</v>
      </c>
      <c r="H9" s="22">
        <f t="shared" si="0"/>
        <v>549.18160000000012</v>
      </c>
      <c r="I9" s="22">
        <f t="shared" si="0"/>
        <v>611.80722500000013</v>
      </c>
      <c r="J9" s="22">
        <f t="shared" si="0"/>
        <v>680.88675000000001</v>
      </c>
      <c r="K9" s="22">
        <f t="shared" si="0"/>
        <v>754.80052499999999</v>
      </c>
    </row>
    <row r="10" spans="1:11" x14ac:dyDescent="0.25">
      <c r="A10" s="75"/>
      <c r="B10" s="22"/>
      <c r="C10" s="22"/>
      <c r="D10" s="22"/>
      <c r="E10" s="22"/>
      <c r="F10" s="22"/>
      <c r="G10" s="22"/>
      <c r="H10" s="22"/>
      <c r="I10" s="6"/>
      <c r="J10" s="6"/>
      <c r="K10" s="6"/>
    </row>
    <row r="11" spans="1:11" x14ac:dyDescent="0.25">
      <c r="A11" s="76" t="s">
        <v>171</v>
      </c>
      <c r="B11" s="9">
        <f>'CS-FG'!C122</f>
        <v>0</v>
      </c>
      <c r="C11" s="9">
        <f>'CS-FG'!D122</f>
        <v>10.650000000000002</v>
      </c>
      <c r="D11" s="9">
        <f>'CS-FG'!E122</f>
        <v>12.285</v>
      </c>
      <c r="E11" s="9">
        <f>'CS-FG'!F122</f>
        <v>14.7182</v>
      </c>
      <c r="F11" s="9">
        <f>'CS-FG'!G122</f>
        <v>15.454499999999999</v>
      </c>
      <c r="G11" s="9">
        <f>'CS-FG'!H122</f>
        <v>18.232900000000004</v>
      </c>
      <c r="H11" s="9">
        <f>'CS-FG'!I122</f>
        <v>20.485100000000003</v>
      </c>
      <c r="I11" s="9">
        <f>'CS-FG'!J122</f>
        <v>22.782599999999999</v>
      </c>
      <c r="J11" s="9">
        <f>'CS-FG'!K122</f>
        <v>25.118400000000001</v>
      </c>
      <c r="K11" s="9">
        <f>'CS-FG'!L122</f>
        <v>28.812500000000004</v>
      </c>
    </row>
    <row r="12" spans="1:11" x14ac:dyDescent="0.25">
      <c r="A12" s="77" t="s">
        <v>172</v>
      </c>
      <c r="B12" s="9">
        <f>'CS-FG'!C123</f>
        <v>10.650000000000002</v>
      </c>
      <c r="C12" s="9">
        <f>'CS-FG'!D123</f>
        <v>12.285</v>
      </c>
      <c r="D12" s="9">
        <f>'CS-FG'!E123</f>
        <v>14.7182</v>
      </c>
      <c r="E12" s="9">
        <f>'CS-FG'!F123</f>
        <v>15.454499999999999</v>
      </c>
      <c r="F12" s="9">
        <f>'CS-FG'!G123</f>
        <v>18.232900000000004</v>
      </c>
      <c r="G12" s="9">
        <f>'CS-FG'!H123</f>
        <v>20.485100000000003</v>
      </c>
      <c r="H12" s="9">
        <f>'CS-FG'!I123</f>
        <v>22.782599999999999</v>
      </c>
      <c r="I12" s="9">
        <f>'CS-FG'!J123</f>
        <v>25.118400000000001</v>
      </c>
      <c r="J12" s="9">
        <f>'CS-FG'!K123</f>
        <v>28.812500000000004</v>
      </c>
      <c r="K12" s="9">
        <f>'CS-FG'!L123</f>
        <v>31.882400000000004</v>
      </c>
    </row>
    <row r="13" spans="1:11" x14ac:dyDescent="0.25">
      <c r="A13" s="77"/>
      <c r="B13" s="22"/>
      <c r="C13" s="22"/>
      <c r="D13" s="22"/>
      <c r="E13" s="22"/>
      <c r="F13" s="22"/>
      <c r="G13" s="22"/>
      <c r="H13" s="22"/>
      <c r="I13" s="6"/>
      <c r="J13" s="6"/>
      <c r="K13" s="6"/>
    </row>
    <row r="14" spans="1:11" x14ac:dyDescent="0.25">
      <c r="A14" s="78" t="s">
        <v>173</v>
      </c>
      <c r="B14" s="22">
        <f>B9+B12-B11</f>
        <v>257.125</v>
      </c>
      <c r="C14" s="22">
        <f t="shared" ref="C14:K14" si="1">C9+C12-C11</f>
        <v>297.80062500000008</v>
      </c>
      <c r="D14" s="22">
        <f t="shared" si="1"/>
        <v>340.45470000000006</v>
      </c>
      <c r="E14" s="22">
        <f t="shared" si="1"/>
        <v>387.60427500000003</v>
      </c>
      <c r="F14" s="22">
        <f t="shared" si="1"/>
        <v>438.69675000000007</v>
      </c>
      <c r="G14" s="22">
        <f t="shared" si="1"/>
        <v>492.286475</v>
      </c>
      <c r="H14" s="22">
        <f t="shared" si="1"/>
        <v>551.47910000000013</v>
      </c>
      <c r="I14" s="22">
        <f t="shared" si="1"/>
        <v>614.14302500000008</v>
      </c>
      <c r="J14" s="22">
        <f t="shared" si="1"/>
        <v>684.58085000000005</v>
      </c>
      <c r="K14" s="22">
        <f t="shared" si="1"/>
        <v>757.87042499999995</v>
      </c>
    </row>
    <row r="15" spans="1:11" x14ac:dyDescent="0.25">
      <c r="A15" s="79"/>
      <c r="B15" s="22"/>
      <c r="C15" s="22"/>
      <c r="D15" s="22"/>
      <c r="E15" s="22"/>
      <c r="F15" s="22"/>
      <c r="G15" s="6"/>
      <c r="H15" s="6"/>
      <c r="I15" s="6"/>
      <c r="J15" s="6"/>
      <c r="K15" s="6"/>
    </row>
    <row r="16" spans="1:11" x14ac:dyDescent="0.25">
      <c r="A16" s="76" t="s">
        <v>174</v>
      </c>
      <c r="B16" s="19">
        <f>'Purchase Schedule'!B9</f>
        <v>227.37</v>
      </c>
      <c r="C16" s="19">
        <f>'Purchase Schedule'!C9</f>
        <v>254.06299999999999</v>
      </c>
      <c r="D16" s="19">
        <f>'Purchase Schedule'!D9</f>
        <v>290.51010000000002</v>
      </c>
      <c r="E16" s="19">
        <f>'Purchase Schedule'!E9</f>
        <v>330.12900000000002</v>
      </c>
      <c r="F16" s="19">
        <f>'Purchase Schedule'!F9</f>
        <v>373.4452</v>
      </c>
      <c r="G16" s="19">
        <f>'Purchase Schedule'!G9</f>
        <v>419.79809999999998</v>
      </c>
      <c r="H16" s="19">
        <f>'Purchase Schedule'!H9</f>
        <v>470.35860000000002</v>
      </c>
      <c r="I16" s="19">
        <f>'Purchase Schedule'!I9</f>
        <v>525.08159999999998</v>
      </c>
      <c r="J16" s="19">
        <f>'Purchase Schedule'!J9</f>
        <v>582.43140000000005</v>
      </c>
      <c r="K16" s="19">
        <f>'Purchase Schedule'!K9</f>
        <v>646.7604</v>
      </c>
    </row>
    <row r="17" spans="1:11" x14ac:dyDescent="0.25">
      <c r="A17" s="76"/>
      <c r="B17" s="19"/>
      <c r="C17" s="19"/>
      <c r="D17" s="19"/>
      <c r="E17" s="19"/>
      <c r="F17" s="19"/>
      <c r="G17" s="19"/>
      <c r="H17" s="19"/>
      <c r="I17" s="6"/>
      <c r="J17" s="6"/>
      <c r="K17" s="6"/>
    </row>
    <row r="18" spans="1:11" x14ac:dyDescent="0.25">
      <c r="A18" s="76" t="s">
        <v>175</v>
      </c>
      <c r="B18" s="9">
        <f>'CS-RM'!B30</f>
        <v>0</v>
      </c>
      <c r="C18" s="9">
        <f>'CS-RM'!C30</f>
        <v>8.745000000000001</v>
      </c>
      <c r="D18" s="9">
        <f>'CS-RM'!D30</f>
        <v>10.382200000000001</v>
      </c>
      <c r="E18" s="9">
        <f>'CS-RM'!E30</f>
        <v>12.1599</v>
      </c>
      <c r="F18" s="9">
        <f>'CS-RM'!F30</f>
        <v>13.498799999999999</v>
      </c>
      <c r="G18" s="9">
        <f>'CS-RM'!G30</f>
        <v>15.5618</v>
      </c>
      <c r="H18" s="9">
        <f>'CS-RM'!H30</f>
        <v>17.1463</v>
      </c>
      <c r="I18" s="9">
        <f>'CS-RM'!I30</f>
        <v>19.534500000000001</v>
      </c>
      <c r="J18" s="9">
        <f>'CS-RM'!J30</f>
        <v>22.118099999999998</v>
      </c>
      <c r="K18" s="9">
        <f>'CS-RM'!K30</f>
        <v>24.1569</v>
      </c>
    </row>
    <row r="19" spans="1:11" x14ac:dyDescent="0.25">
      <c r="A19" s="77" t="s">
        <v>176</v>
      </c>
      <c r="B19" s="9">
        <f>'CS-RM'!B31</f>
        <v>8.745000000000001</v>
      </c>
      <c r="C19" s="9">
        <f>'CS-RM'!C31</f>
        <v>10.382200000000001</v>
      </c>
      <c r="D19" s="9">
        <f>'CS-RM'!D31</f>
        <v>12.1599</v>
      </c>
      <c r="E19" s="9">
        <f>'CS-RM'!E31</f>
        <v>13.498799999999999</v>
      </c>
      <c r="F19" s="9">
        <f>'CS-RM'!F31</f>
        <v>15.5618</v>
      </c>
      <c r="G19" s="9">
        <f>'CS-RM'!G31</f>
        <v>17.1463</v>
      </c>
      <c r="H19" s="9">
        <f>'CS-RM'!H31</f>
        <v>19.534500000000001</v>
      </c>
      <c r="I19" s="9">
        <f>'CS-RM'!I31</f>
        <v>22.118099999999998</v>
      </c>
      <c r="J19" s="9">
        <f>'CS-RM'!J31</f>
        <v>24.1569</v>
      </c>
      <c r="K19" s="9">
        <f>'CS-RM'!K31</f>
        <v>27.136800000000001</v>
      </c>
    </row>
    <row r="20" spans="1:11" x14ac:dyDescent="0.25">
      <c r="A20" s="76"/>
      <c r="B20" s="22"/>
      <c r="C20" s="22"/>
      <c r="D20" s="22"/>
      <c r="E20" s="22"/>
      <c r="F20" s="22"/>
      <c r="G20" s="22"/>
      <c r="H20" s="22"/>
      <c r="I20" s="6"/>
      <c r="J20" s="6"/>
      <c r="K20" s="6"/>
    </row>
    <row r="21" spans="1:11" x14ac:dyDescent="0.25">
      <c r="A21" s="78" t="s">
        <v>177</v>
      </c>
      <c r="B21" s="22">
        <f>B16+B18-B19</f>
        <v>218.625</v>
      </c>
      <c r="C21" s="22">
        <f t="shared" ref="C21:K21" si="2">C16+C18-C19</f>
        <v>252.42579999999998</v>
      </c>
      <c r="D21" s="22">
        <f t="shared" si="2"/>
        <v>288.73240000000004</v>
      </c>
      <c r="E21" s="22">
        <f t="shared" si="2"/>
        <v>328.7901</v>
      </c>
      <c r="F21" s="22">
        <f t="shared" si="2"/>
        <v>371.38220000000001</v>
      </c>
      <c r="G21" s="22">
        <f t="shared" si="2"/>
        <v>418.21359999999999</v>
      </c>
      <c r="H21" s="22">
        <f t="shared" si="2"/>
        <v>467.97040000000004</v>
      </c>
      <c r="I21" s="22">
        <f t="shared" si="2"/>
        <v>522.49799999999993</v>
      </c>
      <c r="J21" s="22">
        <f t="shared" si="2"/>
        <v>580.39260000000013</v>
      </c>
      <c r="K21" s="22">
        <f t="shared" si="2"/>
        <v>643.78049999999996</v>
      </c>
    </row>
    <row r="22" spans="1:11" x14ac:dyDescent="0.25">
      <c r="A22" s="75"/>
      <c r="B22" s="22"/>
      <c r="C22" s="22"/>
      <c r="D22" s="22"/>
      <c r="E22" s="22"/>
      <c r="F22" s="22"/>
      <c r="G22" s="6"/>
      <c r="H22" s="6"/>
      <c r="I22" s="6"/>
      <c r="J22" s="6"/>
      <c r="K22" s="6"/>
    </row>
    <row r="23" spans="1:11" x14ac:dyDescent="0.25">
      <c r="A23" s="80" t="s">
        <v>178</v>
      </c>
      <c r="B23" s="35">
        <f>'Opex Schedule'!C19+'Opex Schedule'!C28</f>
        <v>13.976649999999999</v>
      </c>
      <c r="C23" s="35">
        <f>'Opex Schedule'!D19+'Opex Schedule'!D28</f>
        <v>14.670482500000002</v>
      </c>
      <c r="D23" s="35">
        <f>'Opex Schedule'!E19+'Opex Schedule'!E28</f>
        <v>15.399006625</v>
      </c>
      <c r="E23" s="35">
        <f>'Opex Schedule'!F19+'Opex Schedule'!F28</f>
        <v>16.163956956250004</v>
      </c>
      <c r="F23" s="35">
        <f>'Opex Schedule'!G19+'Opex Schedule'!G28</f>
        <v>16.967154804062503</v>
      </c>
      <c r="G23" s="35">
        <f>'Opex Schedule'!H19+'Opex Schedule'!H28</f>
        <v>17.810512544265631</v>
      </c>
      <c r="H23" s="35">
        <f>'Opex Schedule'!I19+'Opex Schedule'!I28</f>
        <v>18.696038171478911</v>
      </c>
      <c r="I23" s="35">
        <f>'Opex Schedule'!J19+'Opex Schedule'!J28</f>
        <v>19.625840080052857</v>
      </c>
      <c r="J23" s="35">
        <f>'Opex Schedule'!K19+'Opex Schedule'!K28</f>
        <v>20.602132084055501</v>
      </c>
      <c r="K23" s="35">
        <f>'Opex Schedule'!L19+'Opex Schedule'!L28</f>
        <v>21.627238688258277</v>
      </c>
    </row>
    <row r="24" spans="1:11" x14ac:dyDescent="0.25">
      <c r="A24" s="75"/>
      <c r="B24" s="22"/>
      <c r="C24" s="22"/>
      <c r="D24" s="22"/>
      <c r="E24" s="22"/>
      <c r="F24" s="22"/>
      <c r="G24" s="6"/>
      <c r="H24" s="6"/>
      <c r="I24" s="6"/>
      <c r="J24" s="6"/>
      <c r="K24" s="6"/>
    </row>
    <row r="25" spans="1:11" x14ac:dyDescent="0.25">
      <c r="A25" s="80" t="s">
        <v>179</v>
      </c>
      <c r="B25" s="22">
        <f>'Opex Schedule'!C43</f>
        <v>12.478999999999999</v>
      </c>
      <c r="C25" s="22">
        <f>'Opex Schedule'!D43</f>
        <v>14.334940000000001</v>
      </c>
      <c r="D25" s="22">
        <f>'Opex Schedule'!E43</f>
        <v>16.115199999999998</v>
      </c>
      <c r="E25" s="22">
        <f>'Opex Schedule'!F43</f>
        <v>18.122140000000002</v>
      </c>
      <c r="F25" s="22">
        <f>'Opex Schedule'!G43</f>
        <v>20.066400000000002</v>
      </c>
      <c r="G25" s="22">
        <f>'Opex Schedule'!H43</f>
        <v>22.244340000000001</v>
      </c>
      <c r="H25" s="22">
        <f>'Opex Schedule'!I43</f>
        <v>24.382600000000004</v>
      </c>
      <c r="I25" s="22">
        <f>'Opex Schedule'!J43</f>
        <v>25.975540000000006</v>
      </c>
      <c r="J25" s="22">
        <f>'Opex Schedule'!K43</f>
        <v>27.412800000000004</v>
      </c>
      <c r="K25" s="22">
        <f>'Opex Schedule'!L43</f>
        <v>29.005740000000003</v>
      </c>
    </row>
    <row r="26" spans="1:11" x14ac:dyDescent="0.25">
      <c r="A26" s="6"/>
      <c r="B26" s="19"/>
      <c r="C26" s="19"/>
      <c r="D26" s="19"/>
      <c r="E26" s="19"/>
      <c r="F26" s="19"/>
      <c r="G26" s="6"/>
      <c r="H26" s="6"/>
      <c r="I26" s="6"/>
      <c r="J26" s="6"/>
      <c r="K26" s="6"/>
    </row>
    <row r="27" spans="1:11" x14ac:dyDescent="0.25">
      <c r="A27" s="6" t="s">
        <v>180</v>
      </c>
      <c r="B27" s="19">
        <f>'Project Glance'!B10/10</f>
        <v>0.47954999999999998</v>
      </c>
      <c r="C27" s="19">
        <f>B27</f>
        <v>0.47954999999999998</v>
      </c>
      <c r="D27" s="19">
        <f t="shared" ref="D27:K27" si="3">C27</f>
        <v>0.47954999999999998</v>
      </c>
      <c r="E27" s="19">
        <f t="shared" si="3"/>
        <v>0.47954999999999998</v>
      </c>
      <c r="F27" s="19">
        <f t="shared" si="3"/>
        <v>0.47954999999999998</v>
      </c>
      <c r="G27" s="19">
        <f t="shared" si="3"/>
        <v>0.47954999999999998</v>
      </c>
      <c r="H27" s="19">
        <f t="shared" si="3"/>
        <v>0.47954999999999998</v>
      </c>
      <c r="I27" s="19">
        <f t="shared" si="3"/>
        <v>0.47954999999999998</v>
      </c>
      <c r="J27" s="19">
        <f t="shared" si="3"/>
        <v>0.47954999999999998</v>
      </c>
      <c r="K27" s="19">
        <f t="shared" si="3"/>
        <v>0.47954999999999998</v>
      </c>
    </row>
    <row r="28" spans="1:11" x14ac:dyDescent="0.25">
      <c r="A28" s="6"/>
      <c r="B28" s="19"/>
      <c r="C28" s="19"/>
      <c r="D28" s="19"/>
      <c r="E28" s="19"/>
      <c r="F28" s="19"/>
      <c r="G28" s="6"/>
      <c r="H28" s="6"/>
      <c r="I28" s="6"/>
      <c r="J28" s="6"/>
      <c r="K28" s="6"/>
    </row>
    <row r="29" spans="1:11" x14ac:dyDescent="0.25">
      <c r="A29" s="6" t="s">
        <v>181</v>
      </c>
      <c r="B29" s="19">
        <f>B14-B21-B23-B25-B27</f>
        <v>11.564800000000002</v>
      </c>
      <c r="C29" s="19">
        <f t="shared" ref="C29:K29" si="4">C14-C21-C23-C25-C27</f>
        <v>15.889852500000099</v>
      </c>
      <c r="D29" s="19">
        <f t="shared" si="4"/>
        <v>19.728543375000022</v>
      </c>
      <c r="E29" s="19">
        <f t="shared" si="4"/>
        <v>24.048528043750029</v>
      </c>
      <c r="F29" s="19">
        <f t="shared" si="4"/>
        <v>29.80144519593755</v>
      </c>
      <c r="G29" s="19">
        <f t="shared" si="4"/>
        <v>33.538472455734372</v>
      </c>
      <c r="H29" s="19">
        <f t="shared" si="4"/>
        <v>39.950511828521179</v>
      </c>
      <c r="I29" s="19">
        <f t="shared" si="4"/>
        <v>45.56409491994728</v>
      </c>
      <c r="J29" s="19">
        <f t="shared" si="4"/>
        <v>55.69376791594442</v>
      </c>
      <c r="K29" s="19">
        <f t="shared" si="4"/>
        <v>62.977396311741714</v>
      </c>
    </row>
    <row r="30" spans="1:11" x14ac:dyDescent="0.25">
      <c r="A30" s="6" t="s">
        <v>182</v>
      </c>
      <c r="B30" s="9">
        <f>'TL Schedule'!C5</f>
        <v>0</v>
      </c>
      <c r="C30" s="9">
        <f>'TL Schedule'!D5</f>
        <v>0</v>
      </c>
      <c r="D30" s="9">
        <f>'TL Schedule'!E5</f>
        <v>0</v>
      </c>
      <c r="E30" s="9">
        <f>'TL Schedule'!F5</f>
        <v>0</v>
      </c>
      <c r="F30" s="9">
        <f>'TL Schedule'!G5</f>
        <v>0</v>
      </c>
      <c r="G30" s="9">
        <f>'TL Schedule'!H5</f>
        <v>0</v>
      </c>
      <c r="H30" s="9">
        <f>'TL Schedule'!I5</f>
        <v>0</v>
      </c>
      <c r="I30" s="9">
        <f>'TL Schedule'!J5</f>
        <v>0</v>
      </c>
      <c r="J30" s="9">
        <f>'TL Schedule'!K5</f>
        <v>0</v>
      </c>
      <c r="K30" s="9">
        <f>'TL Schedule'!L5</f>
        <v>0</v>
      </c>
    </row>
    <row r="31" spans="1:11" x14ac:dyDescent="0.25">
      <c r="A31" s="21" t="s">
        <v>183</v>
      </c>
      <c r="B31" s="9">
        <f>'WC Assessment'!C15*0.09</f>
        <v>1.2678150937500001</v>
      </c>
      <c r="C31" s="9">
        <f>'WC Assessment'!D15*0.09</f>
        <v>1.6037077640625004</v>
      </c>
      <c r="D31" s="9">
        <f>'WC Assessment'!E15*0.09</f>
        <v>1.9042559627343749</v>
      </c>
      <c r="E31" s="9">
        <f>'WC Assessment'!F15*0.09</f>
        <v>2.080645188996094</v>
      </c>
      <c r="F31" s="9">
        <f>'WC Assessment'!G15*0.09</f>
        <v>2.4242399729771482</v>
      </c>
      <c r="G31" s="9">
        <f>'WC Assessment'!H15*0.09</f>
        <v>2.709889438813506</v>
      </c>
      <c r="H31" s="9">
        <f>'WC Assessment'!I15*0.09</f>
        <v>3.0574662852854311</v>
      </c>
      <c r="I31" s="9">
        <f>'WC Assessment'!J15*0.09</f>
        <v>3.4197876276747032</v>
      </c>
      <c r="J31" s="9">
        <f>'WC Assessment'!K15*0.09</f>
        <v>3.859161850777189</v>
      </c>
      <c r="K31" s="9">
        <f>'WC Assessment'!L15*0.09</f>
        <v>4.3067111980035477</v>
      </c>
    </row>
    <row r="32" spans="1:11" x14ac:dyDescent="0.25">
      <c r="A32" s="6" t="s">
        <v>184</v>
      </c>
      <c r="B32" s="19">
        <f>Depn!C20</f>
        <v>4.7021909999999991</v>
      </c>
      <c r="C32" s="19">
        <f>Depn!D20</f>
        <v>4.7021909999999991</v>
      </c>
      <c r="D32" s="19">
        <f>Depn!E20</f>
        <v>4.7021909999999991</v>
      </c>
      <c r="E32" s="19">
        <f>Depn!F20</f>
        <v>4.7021909999999991</v>
      </c>
      <c r="F32" s="19">
        <f>Depn!G20</f>
        <v>4.7021909999999991</v>
      </c>
      <c r="G32" s="19">
        <f>Depn!H20</f>
        <v>4.7021909999999991</v>
      </c>
      <c r="H32" s="19">
        <f>Depn!I20</f>
        <v>4.7021909999999991</v>
      </c>
      <c r="I32" s="19">
        <f>Depn!J20</f>
        <v>4.7021909999999991</v>
      </c>
      <c r="J32" s="19">
        <f>Depn!K20</f>
        <v>4.7021909999999991</v>
      </c>
      <c r="K32" s="19">
        <f>Depn!L20</f>
        <v>4.7021909999999991</v>
      </c>
    </row>
    <row r="33" spans="1:13" x14ac:dyDescent="0.25">
      <c r="A33" s="6"/>
      <c r="B33" s="19">
        <f>B35*100000</f>
        <v>0</v>
      </c>
      <c r="C33" s="19">
        <f t="shared" ref="C33:H33" si="5">C35*100000</f>
        <v>23985.139265628124</v>
      </c>
      <c r="D33" s="19">
        <f t="shared" si="5"/>
        <v>244091.28486796946</v>
      </c>
      <c r="E33" s="19">
        <f t="shared" si="5"/>
        <v>404573.39376761805</v>
      </c>
      <c r="F33" s="19">
        <f t="shared" si="5"/>
        <v>598127.51159506221</v>
      </c>
      <c r="G33" s="19">
        <f t="shared" si="5"/>
        <v>728725.82937793853</v>
      </c>
      <c r="H33" s="19">
        <f t="shared" si="5"/>
        <v>934084.47531683813</v>
      </c>
      <c r="I33" s="6"/>
      <c r="J33" s="6"/>
      <c r="K33" s="6"/>
    </row>
    <row r="34" spans="1:13" x14ac:dyDescent="0.25">
      <c r="A34" s="6" t="s">
        <v>185</v>
      </c>
      <c r="B34" s="19">
        <f>B29-B30-B31-B32</f>
        <v>5.5947939062500023</v>
      </c>
      <c r="C34" s="19">
        <f t="shared" ref="C34:K34" si="6">C29-C30-C31-C32</f>
        <v>9.5839537359375999</v>
      </c>
      <c r="D34" s="19">
        <f t="shared" si="6"/>
        <v>13.122096412265648</v>
      </c>
      <c r="E34" s="19">
        <f t="shared" si="6"/>
        <v>17.265691854753936</v>
      </c>
      <c r="F34" s="19">
        <f t="shared" si="6"/>
        <v>22.675014222960403</v>
      </c>
      <c r="G34" s="19">
        <f t="shared" si="6"/>
        <v>26.126392016920867</v>
      </c>
      <c r="H34" s="19">
        <f t="shared" si="6"/>
        <v>32.190854543235751</v>
      </c>
      <c r="I34" s="19">
        <f t="shared" si="6"/>
        <v>37.44211629227258</v>
      </c>
      <c r="J34" s="19">
        <f t="shared" si="6"/>
        <v>47.13241506516723</v>
      </c>
      <c r="K34" s="19">
        <f t="shared" si="6"/>
        <v>53.968494113738167</v>
      </c>
    </row>
    <row r="35" spans="1:13" x14ac:dyDescent="0.25">
      <c r="A35" s="6" t="s">
        <v>188</v>
      </c>
      <c r="B35" s="19">
        <f>Tax!B13</f>
        <v>0</v>
      </c>
      <c r="C35" s="19">
        <f>Tax!C13</f>
        <v>0.23985139265628125</v>
      </c>
      <c r="D35" s="19">
        <f>Tax!D13</f>
        <v>2.4409128486796945</v>
      </c>
      <c r="E35" s="19">
        <f>Tax!E13</f>
        <v>4.0457339376761805</v>
      </c>
      <c r="F35" s="19">
        <f>Tax!F13</f>
        <v>5.9812751159506217</v>
      </c>
      <c r="G35" s="19">
        <f>Tax!G13</f>
        <v>7.2872582937793853</v>
      </c>
      <c r="H35" s="19">
        <f>Tax!H13</f>
        <v>9.3408447531683816</v>
      </c>
      <c r="I35" s="19">
        <f>Tax!I13</f>
        <v>11.11917082816978</v>
      </c>
      <c r="J35" s="19">
        <f>Tax!J13</f>
        <v>14.202219181402974</v>
      </c>
      <c r="K35" s="19">
        <f>Tax!K13</f>
        <v>16.405715782390534</v>
      </c>
      <c r="M35" s="13"/>
    </row>
    <row r="36" spans="1:13" x14ac:dyDescent="0.25">
      <c r="A36" s="8" t="s">
        <v>186</v>
      </c>
      <c r="B36" s="22">
        <f>B34-B35</f>
        <v>5.5947939062500023</v>
      </c>
      <c r="C36" s="22">
        <f t="shared" ref="C36:K36" si="7">C34-C35</f>
        <v>9.3441023432813193</v>
      </c>
      <c r="D36" s="22">
        <f t="shared" si="7"/>
        <v>10.681183563585954</v>
      </c>
      <c r="E36" s="22">
        <f t="shared" si="7"/>
        <v>13.219957917077755</v>
      </c>
      <c r="F36" s="22">
        <f t="shared" si="7"/>
        <v>16.693739107009783</v>
      </c>
      <c r="G36" s="22">
        <f t="shared" si="7"/>
        <v>18.839133723141483</v>
      </c>
      <c r="H36" s="22">
        <f t="shared" si="7"/>
        <v>22.850009790067368</v>
      </c>
      <c r="I36" s="22">
        <f t="shared" si="7"/>
        <v>26.322945464102801</v>
      </c>
      <c r="J36" s="22">
        <f t="shared" si="7"/>
        <v>32.930195883764256</v>
      </c>
      <c r="K36" s="22">
        <f t="shared" si="7"/>
        <v>37.56277833134763</v>
      </c>
      <c r="M36" s="13"/>
    </row>
    <row r="37" spans="1:13" x14ac:dyDescent="0.25">
      <c r="J37" s="25"/>
      <c r="K37" s="25"/>
      <c r="M37" s="13"/>
    </row>
    <row r="38" spans="1:13" x14ac:dyDescent="0.25">
      <c r="A38"/>
      <c r="B38" s="232"/>
      <c r="C38"/>
      <c r="D38"/>
      <c r="E38"/>
      <c r="F38"/>
      <c r="J38" s="25"/>
      <c r="K38" s="25"/>
    </row>
    <row r="39" spans="1:13" x14ac:dyDescent="0.25">
      <c r="A39"/>
      <c r="B39" s="24"/>
      <c r="C39" s="24"/>
      <c r="D39" s="24"/>
      <c r="E39" s="24"/>
      <c r="F39" s="24"/>
    </row>
    <row r="40" spans="1:13" x14ac:dyDescent="0.25">
      <c r="A40"/>
      <c r="B40"/>
      <c r="C40"/>
      <c r="D40"/>
      <c r="E40"/>
      <c r="F40"/>
    </row>
    <row r="41" spans="1:13" x14ac:dyDescent="0.25">
      <c r="A41" s="6" t="s">
        <v>187</v>
      </c>
      <c r="B41" s="19">
        <f>B36</f>
        <v>5.5947939062500023</v>
      </c>
      <c r="C41" s="19">
        <f>B41+C36</f>
        <v>14.938896249531322</v>
      </c>
      <c r="D41" s="19">
        <f t="shared" ref="D41:K41" si="8">C41+D36</f>
        <v>25.620079813117275</v>
      </c>
      <c r="E41" s="19">
        <f t="shared" si="8"/>
        <v>38.840037730195029</v>
      </c>
      <c r="F41" s="19">
        <f t="shared" si="8"/>
        <v>55.533776837204812</v>
      </c>
      <c r="G41" s="19">
        <f t="shared" si="8"/>
        <v>74.372910560346298</v>
      </c>
      <c r="H41" s="19">
        <f t="shared" si="8"/>
        <v>97.222920350413659</v>
      </c>
      <c r="I41" s="19">
        <f t="shared" si="8"/>
        <v>123.54586581451646</v>
      </c>
      <c r="J41" s="19">
        <f t="shared" si="8"/>
        <v>156.47606169828072</v>
      </c>
      <c r="K41" s="19">
        <f t="shared" si="8"/>
        <v>194.03884002962835</v>
      </c>
    </row>
    <row r="44" spans="1:13" ht="16.5" customHeight="1" x14ac:dyDescent="0.25"/>
  </sheetData>
  <mergeCells count="1">
    <mergeCell ref="A2:K2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topLeftCell="A43" zoomScale="70" zoomScaleNormal="100" zoomScaleSheetLayoutView="70" workbookViewId="0">
      <selection activeCell="C68" sqref="C68"/>
    </sheetView>
  </sheetViews>
  <sheetFormatPr defaultColWidth="9.140625" defaultRowHeight="15" x14ac:dyDescent="0.25"/>
  <cols>
    <col min="1" max="1" width="4" style="60" bestFit="1" customWidth="1"/>
    <col min="2" max="2" width="76.28515625" style="1" bestFit="1" customWidth="1"/>
    <col min="3" max="3" width="23.7109375" style="1" bestFit="1" customWidth="1"/>
    <col min="4" max="4" width="19.85546875" style="1" bestFit="1" customWidth="1"/>
    <col min="5" max="12" width="12.28515625" style="1" bestFit="1" customWidth="1"/>
    <col min="13" max="16384" width="9.140625" style="1"/>
  </cols>
  <sheetData>
    <row r="1" spans="1:12" x14ac:dyDescent="0.25">
      <c r="A1" s="131"/>
      <c r="B1" s="132" t="s">
        <v>717</v>
      </c>
    </row>
    <row r="2" spans="1:12" x14ac:dyDescent="0.25">
      <c r="A2" s="2">
        <v>1</v>
      </c>
      <c r="B2" s="3" t="s">
        <v>368</v>
      </c>
    </row>
    <row r="3" spans="1:12" x14ac:dyDescent="0.25">
      <c r="A3" s="133" t="s">
        <v>329</v>
      </c>
      <c r="B3" s="1" t="s">
        <v>369</v>
      </c>
      <c r="C3" s="1" t="s">
        <v>740</v>
      </c>
    </row>
    <row r="4" spans="1:12" x14ac:dyDescent="0.25">
      <c r="A4" s="133" t="s">
        <v>330</v>
      </c>
      <c r="B4" s="1" t="s">
        <v>370</v>
      </c>
      <c r="C4" s="1" t="s">
        <v>740</v>
      </c>
    </row>
    <row r="6" spans="1:12" x14ac:dyDescent="0.25">
      <c r="A6" s="2">
        <v>2</v>
      </c>
      <c r="B6" s="3" t="s">
        <v>360</v>
      </c>
      <c r="C6" s="3" t="s">
        <v>371</v>
      </c>
      <c r="D6" s="3" t="s">
        <v>451</v>
      </c>
    </row>
    <row r="7" spans="1:12" x14ac:dyDescent="0.25">
      <c r="B7" s="1" t="s">
        <v>372</v>
      </c>
      <c r="C7" s="82">
        <v>3.1699999999999999E-2</v>
      </c>
      <c r="D7" s="82">
        <v>6.3299999999999995E-2</v>
      </c>
    </row>
    <row r="8" spans="1:12" x14ac:dyDescent="0.25">
      <c r="B8" s="1" t="s">
        <v>373</v>
      </c>
      <c r="C8" s="38">
        <v>0.1</v>
      </c>
      <c r="D8" s="38">
        <v>0.15</v>
      </c>
    </row>
    <row r="10" spans="1:12" x14ac:dyDescent="0.25">
      <c r="A10" s="2">
        <v>3</v>
      </c>
      <c r="B10" s="3" t="s">
        <v>374</v>
      </c>
      <c r="C10" s="3" t="str">
        <f>+'Output Schedule'!B4</f>
        <v>0.5 TPH</v>
      </c>
    </row>
    <row r="12" spans="1:12" x14ac:dyDescent="0.25">
      <c r="A12" s="2">
        <v>4</v>
      </c>
      <c r="B12" s="3" t="s">
        <v>144</v>
      </c>
      <c r="C12" s="128" t="s">
        <v>36</v>
      </c>
      <c r="D12" s="128" t="s">
        <v>37</v>
      </c>
      <c r="E12" s="128" t="s">
        <v>38</v>
      </c>
      <c r="F12" s="128" t="s">
        <v>39</v>
      </c>
      <c r="G12" s="128" t="s">
        <v>40</v>
      </c>
      <c r="H12" s="128" t="s">
        <v>41</v>
      </c>
      <c r="I12" s="128" t="s">
        <v>42</v>
      </c>
      <c r="J12" s="218" t="s">
        <v>495</v>
      </c>
      <c r="K12" s="218" t="s">
        <v>496</v>
      </c>
      <c r="L12" s="218" t="s">
        <v>497</v>
      </c>
    </row>
    <row r="13" spans="1:12" x14ac:dyDescent="0.25">
      <c r="A13" s="133" t="s">
        <v>329</v>
      </c>
      <c r="B13" s="127" t="s">
        <v>375</v>
      </c>
      <c r="C13" s="129">
        <f>'Output Schedule'!B8</f>
        <v>0.5</v>
      </c>
      <c r="D13" s="129">
        <f>'Output Schedule'!C8</f>
        <v>0.55000000000000004</v>
      </c>
      <c r="E13" s="129">
        <f>'Output Schedule'!D8</f>
        <v>0.60000000000000009</v>
      </c>
      <c r="F13" s="129">
        <f>'Output Schedule'!E8</f>
        <v>0.65000000000000013</v>
      </c>
      <c r="G13" s="129">
        <f>'Output Schedule'!F8</f>
        <v>0.70000000000000018</v>
      </c>
      <c r="H13" s="129">
        <f>'Output Schedule'!G8</f>
        <v>0.75000000000000022</v>
      </c>
      <c r="I13" s="129">
        <f>'Output Schedule'!H8</f>
        <v>0.80000000000000027</v>
      </c>
      <c r="J13" s="129">
        <f>'Output Schedule'!I8</f>
        <v>0.85000000000000031</v>
      </c>
      <c r="K13" s="129">
        <f>'Output Schedule'!J8</f>
        <v>0.90000000000000036</v>
      </c>
      <c r="L13" s="129">
        <f>'Output Schedule'!K8</f>
        <v>0.9500000000000004</v>
      </c>
    </row>
    <row r="14" spans="1:12" x14ac:dyDescent="0.25">
      <c r="A14" s="133" t="s">
        <v>330</v>
      </c>
      <c r="B14" s="127" t="s">
        <v>161</v>
      </c>
      <c r="C14" s="129">
        <f>'Output Schedule'!B9</f>
        <v>0.5</v>
      </c>
      <c r="D14" s="129">
        <f>'Output Schedule'!C9</f>
        <v>0.55000000000000004</v>
      </c>
      <c r="E14" s="129">
        <f>'Output Schedule'!D9</f>
        <v>0.60000000000000009</v>
      </c>
      <c r="F14" s="129">
        <f>'Output Schedule'!E9</f>
        <v>0.65000000000000013</v>
      </c>
      <c r="G14" s="129">
        <f>'Output Schedule'!F9</f>
        <v>0.70000000000000018</v>
      </c>
      <c r="H14" s="129">
        <f>'Output Schedule'!G9</f>
        <v>0.75000000000000022</v>
      </c>
      <c r="I14" s="129">
        <f>'Output Schedule'!H9</f>
        <v>0.80000000000000027</v>
      </c>
      <c r="J14" s="129">
        <f>'Output Schedule'!I9</f>
        <v>0.85000000000000031</v>
      </c>
      <c r="K14" s="129">
        <f>'Output Schedule'!J9</f>
        <v>0.90000000000000036</v>
      </c>
      <c r="L14" s="129">
        <f>'Output Schedule'!K9</f>
        <v>0.9500000000000004</v>
      </c>
    </row>
    <row r="15" spans="1:12" hidden="1" x14ac:dyDescent="0.25">
      <c r="A15" s="133" t="s">
        <v>331</v>
      </c>
      <c r="B15" s="127" t="s">
        <v>450</v>
      </c>
      <c r="C15" s="129">
        <f>'Farm Implement Business'!G4</f>
        <v>0.4</v>
      </c>
      <c r="D15" s="129">
        <f>'Farm Implement Business'!H4</f>
        <v>0.5</v>
      </c>
      <c r="E15" s="129">
        <f>'Farm Implement Business'!I4</f>
        <v>0.55000000000000004</v>
      </c>
      <c r="F15" s="129">
        <f>'Farm Implement Business'!J4</f>
        <v>0.60000000000000009</v>
      </c>
      <c r="G15" s="129">
        <f>'Farm Implement Business'!K4</f>
        <v>0.65000000000000013</v>
      </c>
      <c r="H15" s="129">
        <f>'Farm Implement Business'!L4</f>
        <v>0.65000000000000013</v>
      </c>
      <c r="I15" s="129">
        <f>'Farm Implement Business'!M4</f>
        <v>0.65000000000000013</v>
      </c>
    </row>
    <row r="17" spans="1:12" x14ac:dyDescent="0.25">
      <c r="A17" s="2">
        <v>5</v>
      </c>
      <c r="B17" s="3" t="s">
        <v>698</v>
      </c>
    </row>
    <row r="18" spans="1:12" x14ac:dyDescent="0.25">
      <c r="A18" s="133" t="s">
        <v>329</v>
      </c>
      <c r="B18" s="127" t="str">
        <f>+'Output Schedule'!A27</f>
        <v>Tur Dall</v>
      </c>
      <c r="C18" s="266">
        <f>+'Output Schedule'!L27</f>
        <v>0.73</v>
      </c>
    </row>
    <row r="19" spans="1:12" x14ac:dyDescent="0.25">
      <c r="A19" s="133" t="s">
        <v>330</v>
      </c>
      <c r="B19" s="127" t="str">
        <f>+'Output Schedule'!A28</f>
        <v>Cattle Feed</v>
      </c>
      <c r="C19" s="266">
        <f>+'Output Schedule'!L28</f>
        <v>0.25</v>
      </c>
    </row>
    <row r="20" spans="1:12" hidden="1" x14ac:dyDescent="0.25">
      <c r="A20" s="133" t="s">
        <v>331</v>
      </c>
      <c r="B20" s="127" t="str">
        <f>+'Output Schedule'!A29</f>
        <v>Bhusa</v>
      </c>
      <c r="C20" s="266">
        <f>+'Output Schedule'!L29</f>
        <v>0</v>
      </c>
    </row>
    <row r="21" spans="1:12" hidden="1" x14ac:dyDescent="0.25">
      <c r="A21" s="133" t="s">
        <v>431</v>
      </c>
      <c r="B21" s="127" t="str">
        <f>+'Output Schedule'!A30</f>
        <v>Powder</v>
      </c>
      <c r="C21" s="266">
        <f>+'Output Schedule'!L30</f>
        <v>0</v>
      </c>
    </row>
    <row r="22" spans="1:12" x14ac:dyDescent="0.25">
      <c r="A22" s="133" t="s">
        <v>696</v>
      </c>
      <c r="B22" s="127" t="str">
        <f>+'Output Schedule'!A31</f>
        <v>Waste</v>
      </c>
      <c r="C22" s="266">
        <f>+'Output Schedule'!L31</f>
        <v>0.02</v>
      </c>
    </row>
    <row r="23" spans="1:12" x14ac:dyDescent="0.25">
      <c r="A23" s="133"/>
      <c r="B23" s="127"/>
      <c r="C23" s="266"/>
    </row>
    <row r="24" spans="1:12" x14ac:dyDescent="0.25">
      <c r="A24" s="300">
        <v>5</v>
      </c>
      <c r="B24" s="3" t="s">
        <v>699</v>
      </c>
    </row>
    <row r="25" spans="1:12" x14ac:dyDescent="0.25">
      <c r="A25" s="133" t="s">
        <v>329</v>
      </c>
      <c r="B25" s="127" t="str">
        <f>+'Output Schedule'!A34</f>
        <v>Chana Dall</v>
      </c>
      <c r="C25" s="266">
        <f>+'Output Schedule'!L34</f>
        <v>0.75</v>
      </c>
    </row>
    <row r="26" spans="1:12" x14ac:dyDescent="0.25">
      <c r="A26" s="133" t="s">
        <v>330</v>
      </c>
      <c r="B26" s="127" t="str">
        <f>+'Output Schedule'!A35</f>
        <v>Chuni</v>
      </c>
      <c r="C26" s="266">
        <f>+'Output Schedule'!L35</f>
        <v>0.08</v>
      </c>
    </row>
    <row r="27" spans="1:12" x14ac:dyDescent="0.25">
      <c r="A27" s="133" t="s">
        <v>331</v>
      </c>
      <c r="B27" s="127" t="str">
        <f>+'Output Schedule'!A36</f>
        <v>Bhusa</v>
      </c>
      <c r="C27" s="266">
        <f>+'Output Schedule'!L36</f>
        <v>0.15</v>
      </c>
    </row>
    <row r="28" spans="1:12" x14ac:dyDescent="0.25">
      <c r="A28" s="133" t="s">
        <v>431</v>
      </c>
      <c r="B28" s="127" t="str">
        <f>+'Output Schedule'!A37</f>
        <v>Powder</v>
      </c>
      <c r="C28" s="266">
        <f>+'Output Schedule'!L37</f>
        <v>0</v>
      </c>
    </row>
    <row r="29" spans="1:12" x14ac:dyDescent="0.25">
      <c r="A29" s="133" t="s">
        <v>696</v>
      </c>
      <c r="B29" s="127" t="str">
        <f>+'Output Schedule'!A38</f>
        <v>Waste</v>
      </c>
      <c r="C29" s="266">
        <f>+'Output Schedule'!L38</f>
        <v>0.02</v>
      </c>
    </row>
    <row r="30" spans="1:12" x14ac:dyDescent="0.25">
      <c r="A30" s="133"/>
      <c r="B30" s="127"/>
      <c r="C30" s="266"/>
    </row>
    <row r="32" spans="1:12" x14ac:dyDescent="0.25">
      <c r="A32" s="2">
        <v>6</v>
      </c>
      <c r="B32" s="130" t="s">
        <v>376</v>
      </c>
      <c r="C32" s="128" t="s">
        <v>36</v>
      </c>
      <c r="D32" s="128" t="s">
        <v>37</v>
      </c>
      <c r="E32" s="128" t="s">
        <v>38</v>
      </c>
      <c r="F32" s="128" t="s">
        <v>39</v>
      </c>
      <c r="G32" s="128" t="s">
        <v>40</v>
      </c>
      <c r="H32" s="128" t="s">
        <v>41</v>
      </c>
      <c r="I32" s="128" t="s">
        <v>42</v>
      </c>
      <c r="J32" s="218" t="s">
        <v>495</v>
      </c>
      <c r="K32" s="218" t="s">
        <v>496</v>
      </c>
      <c r="L32" s="218" t="s">
        <v>497</v>
      </c>
    </row>
    <row r="33" spans="1:12" x14ac:dyDescent="0.25">
      <c r="B33" s="1" t="str">
        <f>'Output Schedule'!A42</f>
        <v>No of days of opertaion (JW Services)</v>
      </c>
      <c r="C33" s="1">
        <f>'Output Schedule'!B42</f>
        <v>75</v>
      </c>
      <c r="D33" s="1">
        <f>'Output Schedule'!C42</f>
        <v>83</v>
      </c>
      <c r="E33" s="1">
        <f>'Output Schedule'!D42</f>
        <v>90</v>
      </c>
      <c r="F33" s="1">
        <f>'Output Schedule'!E42</f>
        <v>98</v>
      </c>
      <c r="G33" s="1">
        <f>'Output Schedule'!F42</f>
        <v>105</v>
      </c>
      <c r="H33" s="1">
        <f>'Output Schedule'!G42</f>
        <v>113</v>
      </c>
      <c r="I33" s="1">
        <f>'Output Schedule'!H42</f>
        <v>120</v>
      </c>
      <c r="J33" s="1">
        <f>'Output Schedule'!I42</f>
        <v>128</v>
      </c>
      <c r="K33" s="1">
        <f>'Output Schedule'!J42</f>
        <v>135</v>
      </c>
      <c r="L33" s="1">
        <f>'Output Schedule'!K42</f>
        <v>143</v>
      </c>
    </row>
    <row r="34" spans="1:12" x14ac:dyDescent="0.25">
      <c r="B34" s="1" t="str">
        <f>'Output Schedule'!A43</f>
        <v>No of days of opertaion (Captive Operations)</v>
      </c>
      <c r="C34" s="1">
        <f>'Output Schedule'!B43</f>
        <v>75</v>
      </c>
      <c r="D34" s="1">
        <f>'Output Schedule'!C43</f>
        <v>83</v>
      </c>
      <c r="E34" s="1">
        <f>'Output Schedule'!D43</f>
        <v>90</v>
      </c>
      <c r="F34" s="1">
        <f>'Output Schedule'!E43</f>
        <v>98</v>
      </c>
      <c r="G34" s="1">
        <f>'Output Schedule'!F43</f>
        <v>105</v>
      </c>
      <c r="H34" s="1">
        <f>'Output Schedule'!G43</f>
        <v>113</v>
      </c>
      <c r="I34" s="1">
        <f>'Output Schedule'!H43</f>
        <v>120</v>
      </c>
      <c r="J34" s="1">
        <f>'Output Schedule'!I43</f>
        <v>128</v>
      </c>
      <c r="K34" s="1">
        <f>'Output Schedule'!J43</f>
        <v>135</v>
      </c>
      <c r="L34" s="1">
        <f>'Output Schedule'!K43</f>
        <v>143</v>
      </c>
    </row>
    <row r="36" spans="1:12" x14ac:dyDescent="0.25">
      <c r="B36" s="3" t="str">
        <f>'Output Schedule'!A45</f>
        <v>Total Working days of the Facilty</v>
      </c>
      <c r="C36" s="3">
        <f>'Output Schedule'!B45</f>
        <v>150</v>
      </c>
      <c r="D36" s="3">
        <f>'Output Schedule'!C45</f>
        <v>166</v>
      </c>
      <c r="E36" s="3">
        <f>'Output Schedule'!D45</f>
        <v>180</v>
      </c>
      <c r="F36" s="3">
        <f>'Output Schedule'!E45</f>
        <v>196</v>
      </c>
      <c r="G36" s="3">
        <f>'Output Schedule'!F45</f>
        <v>210</v>
      </c>
      <c r="H36" s="3">
        <f>'Output Schedule'!G45</f>
        <v>226</v>
      </c>
      <c r="I36" s="3">
        <f>'Output Schedule'!H45</f>
        <v>240</v>
      </c>
      <c r="J36" s="3">
        <f>'Output Schedule'!I45</f>
        <v>256</v>
      </c>
      <c r="K36" s="3">
        <f>'Output Schedule'!J45</f>
        <v>270</v>
      </c>
      <c r="L36" s="3">
        <f>'Output Schedule'!K45</f>
        <v>286</v>
      </c>
    </row>
    <row r="38" spans="1:12" x14ac:dyDescent="0.25">
      <c r="A38" s="60">
        <v>7</v>
      </c>
      <c r="B38" s="1" t="s">
        <v>377</v>
      </c>
      <c r="C38" s="1" t="s">
        <v>378</v>
      </c>
    </row>
    <row r="39" spans="1:12" x14ac:dyDescent="0.25">
      <c r="A39" s="60">
        <v>8</v>
      </c>
      <c r="B39" s="1" t="s">
        <v>379</v>
      </c>
      <c r="C39" s="1" t="s">
        <v>378</v>
      </c>
    </row>
    <row r="40" spans="1:12" hidden="1" x14ac:dyDescent="0.25">
      <c r="A40" s="60">
        <v>9</v>
      </c>
      <c r="B40" s="1" t="s">
        <v>456</v>
      </c>
      <c r="C40" s="1" t="s">
        <v>464</v>
      </c>
    </row>
    <row r="42" spans="1:12" x14ac:dyDescent="0.25">
      <c r="A42" s="60">
        <v>9</v>
      </c>
      <c r="B42" s="3" t="s">
        <v>380</v>
      </c>
      <c r="C42" s="128" t="s">
        <v>36</v>
      </c>
      <c r="D42" s="128" t="s">
        <v>37</v>
      </c>
      <c r="E42" s="128" t="s">
        <v>38</v>
      </c>
      <c r="F42" s="128" t="s">
        <v>39</v>
      </c>
      <c r="G42" s="128" t="s">
        <v>40</v>
      </c>
      <c r="H42" s="128" t="s">
        <v>41</v>
      </c>
      <c r="I42" s="128" t="s">
        <v>42</v>
      </c>
      <c r="J42" s="218" t="s">
        <v>495</v>
      </c>
      <c r="K42" s="218" t="s">
        <v>496</v>
      </c>
      <c r="L42" s="218" t="s">
        <v>497</v>
      </c>
    </row>
    <row r="43" spans="1:12" x14ac:dyDescent="0.25">
      <c r="B43" s="1" t="s">
        <v>727</v>
      </c>
      <c r="C43" s="25">
        <f>'Purchase Schedule'!B4</f>
        <v>63100</v>
      </c>
      <c r="D43" s="25">
        <f>'Purchase Schedule'!C4</f>
        <v>66260</v>
      </c>
      <c r="E43" s="25">
        <f>'Purchase Schedule'!D4</f>
        <v>69570</v>
      </c>
      <c r="F43" s="25">
        <f>'Purchase Schedule'!E4</f>
        <v>73050</v>
      </c>
      <c r="G43" s="25">
        <f>'Purchase Schedule'!F4</f>
        <v>76700</v>
      </c>
      <c r="H43" s="25">
        <f>'Purchase Schedule'!G4</f>
        <v>80540</v>
      </c>
      <c r="I43" s="25">
        <f>'Purchase Schedule'!H4</f>
        <v>84570</v>
      </c>
      <c r="J43" s="25">
        <f>'Purchase Schedule'!I4</f>
        <v>88800</v>
      </c>
      <c r="K43" s="25">
        <f>'Purchase Schedule'!J4</f>
        <v>93240</v>
      </c>
      <c r="L43" s="25">
        <f>'Purchase Schedule'!K4</f>
        <v>97900</v>
      </c>
    </row>
    <row r="44" spans="1:12" x14ac:dyDescent="0.25">
      <c r="B44" s="1" t="s">
        <v>728</v>
      </c>
      <c r="C44" s="25">
        <f>+'Purchase Schedule'!B7</f>
        <v>51100</v>
      </c>
      <c r="D44" s="25">
        <f>+'Purchase Schedule'!C7</f>
        <v>53660</v>
      </c>
      <c r="E44" s="25">
        <f>+'Purchase Schedule'!D7</f>
        <v>56340</v>
      </c>
      <c r="F44" s="25">
        <f>+'Purchase Schedule'!E7</f>
        <v>59160</v>
      </c>
      <c r="G44" s="25">
        <f>+'Purchase Schedule'!F7</f>
        <v>62120</v>
      </c>
      <c r="H44" s="25">
        <f>+'Purchase Schedule'!G7</f>
        <v>65230</v>
      </c>
      <c r="I44" s="25">
        <f>+'Purchase Schedule'!H7</f>
        <v>68490</v>
      </c>
      <c r="J44" s="25">
        <f>+'Purchase Schedule'!I7</f>
        <v>71910</v>
      </c>
      <c r="K44" s="25">
        <f>+'Purchase Schedule'!J7</f>
        <v>75510</v>
      </c>
      <c r="L44" s="25">
        <f>+'Purchase Schedule'!K7</f>
        <v>79290</v>
      </c>
    </row>
    <row r="45" spans="1:12" hidden="1" x14ac:dyDescent="0.25">
      <c r="C45" s="187" t="s">
        <v>36</v>
      </c>
      <c r="D45" s="187" t="s">
        <v>37</v>
      </c>
      <c r="E45" s="187" t="s">
        <v>38</v>
      </c>
      <c r="F45" s="187" t="s">
        <v>39</v>
      </c>
      <c r="G45" s="187" t="s">
        <v>40</v>
      </c>
      <c r="H45" s="187" t="s">
        <v>41</v>
      </c>
      <c r="I45" s="187" t="s">
        <v>42</v>
      </c>
    </row>
    <row r="46" spans="1:12" hidden="1" x14ac:dyDescent="0.25">
      <c r="A46" s="60">
        <v>11</v>
      </c>
      <c r="B46" s="1" t="s">
        <v>458</v>
      </c>
      <c r="C46" s="25">
        <f>'Production Level Support'!B3</f>
        <v>0</v>
      </c>
      <c r="D46" s="25">
        <f>'Production Level Support'!C3</f>
        <v>0</v>
      </c>
      <c r="E46" s="25">
        <f>'Production Level Support'!D3</f>
        <v>0</v>
      </c>
      <c r="F46" s="25">
        <f>'Production Level Support'!E3</f>
        <v>0</v>
      </c>
      <c r="G46" s="25">
        <f>'Production Level Support'!F3</f>
        <v>0</v>
      </c>
      <c r="H46" s="25">
        <f>'Production Level Support'!G3</f>
        <v>0</v>
      </c>
      <c r="I46" s="25">
        <f>'Production Level Support'!H3</f>
        <v>0</v>
      </c>
    </row>
    <row r="47" spans="1:12" hidden="1" x14ac:dyDescent="0.25">
      <c r="C47" s="25"/>
      <c r="D47" s="25"/>
      <c r="E47" s="25"/>
      <c r="F47" s="25"/>
      <c r="G47" s="25"/>
      <c r="H47" s="25"/>
      <c r="I47" s="25"/>
    </row>
    <row r="48" spans="1:12" hidden="1" x14ac:dyDescent="0.25">
      <c r="C48" s="187" t="s">
        <v>36</v>
      </c>
      <c r="D48" s="187" t="s">
        <v>37</v>
      </c>
      <c r="E48" s="187" t="s">
        <v>38</v>
      </c>
      <c r="F48" s="187" t="s">
        <v>39</v>
      </c>
      <c r="G48" s="187" t="s">
        <v>40</v>
      </c>
      <c r="H48" s="187" t="s">
        <v>41</v>
      </c>
      <c r="I48" s="187" t="s">
        <v>42</v>
      </c>
    </row>
    <row r="49" spans="1:12" hidden="1" x14ac:dyDescent="0.25">
      <c r="A49" s="60">
        <v>12</v>
      </c>
      <c r="B49" s="1" t="s">
        <v>461</v>
      </c>
      <c r="C49" s="38">
        <v>0.85</v>
      </c>
      <c r="D49" s="38">
        <v>0.85</v>
      </c>
      <c r="E49" s="38">
        <v>0.85</v>
      </c>
      <c r="F49" s="38">
        <v>0.85</v>
      </c>
      <c r="G49" s="38">
        <v>0.85</v>
      </c>
      <c r="H49" s="38">
        <v>0.85</v>
      </c>
      <c r="I49" s="38">
        <v>0.85</v>
      </c>
    </row>
    <row r="50" spans="1:12" x14ac:dyDescent="0.25">
      <c r="C50" s="25"/>
      <c r="D50" s="25"/>
      <c r="E50" s="25"/>
      <c r="F50" s="25"/>
      <c r="G50" s="25"/>
      <c r="H50" s="25"/>
      <c r="I50" s="25"/>
    </row>
    <row r="51" spans="1:12" x14ac:dyDescent="0.25">
      <c r="A51" s="60">
        <v>10</v>
      </c>
      <c r="B51" s="3" t="s">
        <v>459</v>
      </c>
      <c r="C51" s="128" t="s">
        <v>36</v>
      </c>
      <c r="D51" s="128" t="s">
        <v>37</v>
      </c>
      <c r="E51" s="128" t="s">
        <v>38</v>
      </c>
      <c r="F51" s="128" t="s">
        <v>39</v>
      </c>
      <c r="G51" s="128" t="s">
        <v>40</v>
      </c>
      <c r="H51" s="128" t="s">
        <v>41</v>
      </c>
      <c r="I51" s="128" t="s">
        <v>42</v>
      </c>
      <c r="J51" s="218" t="s">
        <v>495</v>
      </c>
      <c r="K51" s="218" t="s">
        <v>496</v>
      </c>
      <c r="L51" s="218" t="s">
        <v>497</v>
      </c>
    </row>
    <row r="52" spans="1:12" x14ac:dyDescent="0.25">
      <c r="B52" s="1" t="s">
        <v>741</v>
      </c>
      <c r="C52" s="25">
        <f>'Output Schedule'!B13</f>
        <v>2900</v>
      </c>
      <c r="D52" s="25">
        <f>'Output Schedule'!C13</f>
        <v>3045</v>
      </c>
      <c r="E52" s="25">
        <f>'Output Schedule'!D13</f>
        <v>3197</v>
      </c>
      <c r="F52" s="25">
        <f>'Output Schedule'!E13</f>
        <v>3357</v>
      </c>
      <c r="G52" s="25">
        <f>'Output Schedule'!F13</f>
        <v>3525</v>
      </c>
      <c r="H52" s="25">
        <f>'Output Schedule'!G13</f>
        <v>3651</v>
      </c>
      <c r="I52" s="25">
        <f>'Output Schedule'!H13</f>
        <v>3784</v>
      </c>
      <c r="J52" s="25">
        <f>'Output Schedule'!I13</f>
        <v>3923</v>
      </c>
      <c r="K52" s="25">
        <f>'Output Schedule'!J13</f>
        <v>4119</v>
      </c>
      <c r="L52" s="25">
        <f>'Output Schedule'!K13</f>
        <v>4325</v>
      </c>
    </row>
    <row r="53" spans="1:12" hidden="1" x14ac:dyDescent="0.25">
      <c r="A53" s="60" t="s">
        <v>330</v>
      </c>
      <c r="B53" s="1" t="s">
        <v>460</v>
      </c>
      <c r="C53" s="25"/>
      <c r="D53" s="25"/>
      <c r="E53" s="25"/>
      <c r="F53" s="25"/>
      <c r="G53" s="25"/>
      <c r="H53" s="25"/>
      <c r="I53" s="25"/>
    </row>
    <row r="54" spans="1:12" hidden="1" x14ac:dyDescent="0.25">
      <c r="B54" s="188" t="s">
        <v>462</v>
      </c>
      <c r="C54" s="25">
        <f>'Farm Implement Business'!E5</f>
        <v>1500</v>
      </c>
      <c r="D54" s="25"/>
      <c r="E54" s="25"/>
      <c r="F54" s="25"/>
      <c r="G54" s="25"/>
      <c r="H54" s="25"/>
      <c r="I54" s="25"/>
    </row>
    <row r="55" spans="1:12" hidden="1" x14ac:dyDescent="0.25">
      <c r="B55" s="188" t="s">
        <v>463</v>
      </c>
      <c r="C55" s="25">
        <f>'Farm Implement Business'!E6</f>
        <v>1000</v>
      </c>
      <c r="D55" s="25"/>
      <c r="E55" s="25"/>
      <c r="F55" s="25"/>
      <c r="G55" s="25"/>
      <c r="H55" s="25"/>
      <c r="I55" s="25"/>
    </row>
    <row r="57" spans="1:12" x14ac:dyDescent="0.25">
      <c r="A57" s="60">
        <v>11</v>
      </c>
      <c r="B57" s="3" t="s">
        <v>381</v>
      </c>
      <c r="C57" s="1" t="s">
        <v>382</v>
      </c>
    </row>
    <row r="59" spans="1:12" x14ac:dyDescent="0.25">
      <c r="A59" s="60">
        <v>12</v>
      </c>
      <c r="B59" s="3" t="s">
        <v>383</v>
      </c>
      <c r="C59" s="128" t="s">
        <v>36</v>
      </c>
      <c r="D59" s="128" t="s">
        <v>37</v>
      </c>
      <c r="E59" s="128" t="s">
        <v>38</v>
      </c>
      <c r="F59" s="128" t="s">
        <v>39</v>
      </c>
      <c r="G59" s="128" t="s">
        <v>40</v>
      </c>
      <c r="H59" s="128" t="s">
        <v>41</v>
      </c>
      <c r="I59" s="128" t="s">
        <v>42</v>
      </c>
      <c r="J59" s="218" t="s">
        <v>495</v>
      </c>
      <c r="K59" s="218" t="s">
        <v>496</v>
      </c>
      <c r="L59" s="218" t="s">
        <v>497</v>
      </c>
    </row>
    <row r="60" spans="1:12" x14ac:dyDescent="0.25">
      <c r="B60" s="3" t="s">
        <v>727</v>
      </c>
      <c r="C60" s="299"/>
      <c r="D60" s="299"/>
      <c r="E60" s="299"/>
      <c r="F60" s="299"/>
      <c r="G60" s="299"/>
      <c r="H60" s="299"/>
      <c r="I60" s="299"/>
      <c r="J60" s="299"/>
      <c r="K60" s="299"/>
      <c r="L60" s="299"/>
    </row>
    <row r="61" spans="1:12" x14ac:dyDescent="0.25">
      <c r="A61" s="133" t="s">
        <v>329</v>
      </c>
      <c r="B61" s="1" t="str">
        <f>'CS-FG'!B35</f>
        <v>Tur Dall</v>
      </c>
      <c r="C61" s="25">
        <f>'CS-FG'!C35</f>
        <v>85000</v>
      </c>
      <c r="D61" s="25">
        <f>'CS-FG'!D35</f>
        <v>89250</v>
      </c>
      <c r="E61" s="25">
        <f>'CS-FG'!E35</f>
        <v>93710</v>
      </c>
      <c r="F61" s="25">
        <f>'CS-FG'!F35</f>
        <v>98400</v>
      </c>
      <c r="G61" s="25">
        <f>'CS-FG'!G35</f>
        <v>103320</v>
      </c>
      <c r="H61" s="25">
        <f>'CS-FG'!H35</f>
        <v>108490</v>
      </c>
      <c r="I61" s="25">
        <f>'CS-FG'!I35</f>
        <v>113910</v>
      </c>
      <c r="J61" s="25">
        <f>'CS-FG'!J35</f>
        <v>119610</v>
      </c>
      <c r="K61" s="25">
        <f>'CS-FG'!K35</f>
        <v>125590</v>
      </c>
      <c r="L61" s="25">
        <f>'CS-FG'!L35</f>
        <v>131870</v>
      </c>
    </row>
    <row r="62" spans="1:12" x14ac:dyDescent="0.25">
      <c r="A62" s="133" t="s">
        <v>330</v>
      </c>
      <c r="B62" s="1" t="str">
        <f>'CS-FG'!B36</f>
        <v>Cattle Feed</v>
      </c>
      <c r="C62" s="25">
        <f>'CS-FG'!C36</f>
        <v>20000</v>
      </c>
      <c r="D62" s="25">
        <f>'CS-FG'!D36</f>
        <v>21000</v>
      </c>
      <c r="E62" s="25">
        <f>'CS-FG'!E36</f>
        <v>22050</v>
      </c>
      <c r="F62" s="25">
        <f>'CS-FG'!F36</f>
        <v>23150</v>
      </c>
      <c r="G62" s="25">
        <f>'CS-FG'!G36</f>
        <v>24310</v>
      </c>
      <c r="H62" s="25">
        <f>'CS-FG'!H36</f>
        <v>25530</v>
      </c>
      <c r="I62" s="25">
        <f>'CS-FG'!I36</f>
        <v>26810</v>
      </c>
      <c r="J62" s="25">
        <f>'CS-FG'!J36</f>
        <v>28150</v>
      </c>
      <c r="K62" s="25">
        <f>'CS-FG'!K36</f>
        <v>29560</v>
      </c>
      <c r="L62" s="25">
        <f>'CS-FG'!L36</f>
        <v>31040</v>
      </c>
    </row>
    <row r="63" spans="1:12" hidden="1" x14ac:dyDescent="0.25">
      <c r="A63" s="133" t="s">
        <v>331</v>
      </c>
      <c r="B63" s="1" t="str">
        <f>'CS-FG'!B37</f>
        <v>Bhusa</v>
      </c>
      <c r="C63" s="25">
        <f>'CS-FG'!C37</f>
        <v>0</v>
      </c>
      <c r="D63" s="25">
        <f>'CS-FG'!D37</f>
        <v>0</v>
      </c>
      <c r="E63" s="25">
        <f>'CS-FG'!E37</f>
        <v>0</v>
      </c>
      <c r="F63" s="25">
        <f>'CS-FG'!F37</f>
        <v>0</v>
      </c>
      <c r="G63" s="25">
        <f>'CS-FG'!G37</f>
        <v>0</v>
      </c>
      <c r="H63" s="25">
        <f>'CS-FG'!H37</f>
        <v>0</v>
      </c>
      <c r="I63" s="25">
        <f>'CS-FG'!I37</f>
        <v>0</v>
      </c>
      <c r="J63" s="25">
        <f>'CS-FG'!J37</f>
        <v>0</v>
      </c>
      <c r="K63" s="25">
        <f>'CS-FG'!K37</f>
        <v>0</v>
      </c>
      <c r="L63" s="25">
        <f>'CS-FG'!L37</f>
        <v>0</v>
      </c>
    </row>
    <row r="64" spans="1:12" hidden="1" x14ac:dyDescent="0.25">
      <c r="A64" s="133" t="s">
        <v>431</v>
      </c>
      <c r="B64" s="1" t="str">
        <f>'CS-FG'!B38</f>
        <v>Powder</v>
      </c>
      <c r="C64" s="25">
        <f>'CS-FG'!C38</f>
        <v>0</v>
      </c>
      <c r="D64" s="25">
        <f>'CS-FG'!D38</f>
        <v>0</v>
      </c>
      <c r="E64" s="25">
        <f>'CS-FG'!E38</f>
        <v>0</v>
      </c>
      <c r="F64" s="25">
        <f>'CS-FG'!F38</f>
        <v>0</v>
      </c>
      <c r="G64" s="25">
        <f>'CS-FG'!G38</f>
        <v>0</v>
      </c>
      <c r="H64" s="25">
        <f>'CS-FG'!H38</f>
        <v>0</v>
      </c>
      <c r="I64" s="25">
        <f>'CS-FG'!I38</f>
        <v>0</v>
      </c>
      <c r="J64" s="25">
        <f>'CS-FG'!J38</f>
        <v>0</v>
      </c>
      <c r="K64" s="25">
        <f>'CS-FG'!K38</f>
        <v>0</v>
      </c>
      <c r="L64" s="25">
        <f>'CS-FG'!L38</f>
        <v>0</v>
      </c>
    </row>
    <row r="65" spans="1:12" hidden="1" x14ac:dyDescent="0.25">
      <c r="A65" s="133" t="s">
        <v>696</v>
      </c>
      <c r="B65" s="1" t="str">
        <f>'CS-FG'!B39</f>
        <v>Waste</v>
      </c>
      <c r="C65" s="25">
        <f>'CS-FG'!C39</f>
        <v>0</v>
      </c>
      <c r="D65" s="25">
        <f>'CS-FG'!D39</f>
        <v>0</v>
      </c>
      <c r="E65" s="25">
        <f>'CS-FG'!E39</f>
        <v>0</v>
      </c>
      <c r="F65" s="25">
        <f>'CS-FG'!F39</f>
        <v>0</v>
      </c>
      <c r="G65" s="25">
        <f>'CS-FG'!G39</f>
        <v>0</v>
      </c>
      <c r="H65" s="25">
        <f>'CS-FG'!H39</f>
        <v>0</v>
      </c>
      <c r="I65" s="25">
        <f>'CS-FG'!I39</f>
        <v>0</v>
      </c>
      <c r="J65" s="25">
        <f>'CS-FG'!J39</f>
        <v>0</v>
      </c>
      <c r="K65" s="25">
        <f>'CS-FG'!K39</f>
        <v>0</v>
      </c>
      <c r="L65" s="25">
        <f>'CS-FG'!L39</f>
        <v>0</v>
      </c>
    </row>
    <row r="66" spans="1:12" x14ac:dyDescent="0.25">
      <c r="A66" s="133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1:12" x14ac:dyDescent="0.25">
      <c r="A67" s="133"/>
      <c r="B67" s="3" t="s">
        <v>700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1:12" x14ac:dyDescent="0.25">
      <c r="A68" s="133" t="s">
        <v>329</v>
      </c>
      <c r="B68" s="1" t="str">
        <f>+'CS-FG'!B93</f>
        <v>Chana Dall</v>
      </c>
      <c r="C68" s="1">
        <f>+'CS-FG'!C93</f>
        <v>80000</v>
      </c>
      <c r="D68" s="1">
        <f>+'CS-FG'!D93</f>
        <v>84000</v>
      </c>
      <c r="E68" s="1">
        <f>+'CS-FG'!E93</f>
        <v>88200</v>
      </c>
      <c r="F68" s="1">
        <f>+'CS-FG'!F93</f>
        <v>92610</v>
      </c>
      <c r="G68" s="1">
        <f>+'CS-FG'!G93</f>
        <v>97240</v>
      </c>
      <c r="H68" s="1">
        <f>+'CS-FG'!H93</f>
        <v>102100</v>
      </c>
      <c r="I68" s="1">
        <f>+'CS-FG'!I93</f>
        <v>107210</v>
      </c>
      <c r="J68" s="1">
        <f>+'CS-FG'!J93</f>
        <v>112570</v>
      </c>
      <c r="K68" s="1">
        <f>+'CS-FG'!K93</f>
        <v>118200</v>
      </c>
      <c r="L68" s="1">
        <f>+'CS-FG'!L93</f>
        <v>124110</v>
      </c>
    </row>
    <row r="69" spans="1:12" x14ac:dyDescent="0.25">
      <c r="A69" s="133" t="s">
        <v>330</v>
      </c>
      <c r="B69" s="1" t="str">
        <f>+'CS-FG'!B94</f>
        <v>Chuni</v>
      </c>
      <c r="C69" s="1">
        <f>+'CS-FG'!C94</f>
        <v>15000</v>
      </c>
      <c r="D69" s="1">
        <f>+'CS-FG'!D94</f>
        <v>15750</v>
      </c>
      <c r="E69" s="1">
        <f>+'CS-FG'!E94</f>
        <v>16540</v>
      </c>
      <c r="F69" s="1">
        <f>+'CS-FG'!F94</f>
        <v>17370</v>
      </c>
      <c r="G69" s="1">
        <f>+'CS-FG'!G94</f>
        <v>18240</v>
      </c>
      <c r="H69" s="1">
        <f>+'CS-FG'!H94</f>
        <v>19150</v>
      </c>
      <c r="I69" s="1">
        <f>+'CS-FG'!I94</f>
        <v>20110</v>
      </c>
      <c r="J69" s="1">
        <f>+'CS-FG'!J94</f>
        <v>21120</v>
      </c>
      <c r="K69" s="1">
        <f>+'CS-FG'!K94</f>
        <v>22180</v>
      </c>
      <c r="L69" s="1">
        <f>+'CS-FG'!L94</f>
        <v>23290</v>
      </c>
    </row>
    <row r="70" spans="1:12" x14ac:dyDescent="0.25">
      <c r="A70" s="133" t="s">
        <v>331</v>
      </c>
      <c r="B70" s="1" t="str">
        <f>+'CS-FG'!B95</f>
        <v>Bhusa</v>
      </c>
      <c r="C70" s="1">
        <f>+'CS-FG'!C95</f>
        <v>15000</v>
      </c>
      <c r="D70" s="1">
        <f>+'CS-FG'!D95</f>
        <v>15750</v>
      </c>
      <c r="E70" s="1">
        <f>+'CS-FG'!E95</f>
        <v>16540</v>
      </c>
      <c r="F70" s="1">
        <f>+'CS-FG'!F95</f>
        <v>17370</v>
      </c>
      <c r="G70" s="1">
        <f>+'CS-FG'!G95</f>
        <v>18240</v>
      </c>
      <c r="H70" s="1">
        <f>+'CS-FG'!H95</f>
        <v>19150</v>
      </c>
      <c r="I70" s="1">
        <f>+'CS-FG'!I95</f>
        <v>20110</v>
      </c>
      <c r="J70" s="1">
        <f>+'CS-FG'!J95</f>
        <v>21120</v>
      </c>
      <c r="K70" s="1">
        <f>+'CS-FG'!K95</f>
        <v>22180</v>
      </c>
      <c r="L70" s="1">
        <f>+'CS-FG'!L95</f>
        <v>23290</v>
      </c>
    </row>
    <row r="71" spans="1:12" x14ac:dyDescent="0.25">
      <c r="A71" s="133" t="s">
        <v>431</v>
      </c>
      <c r="B71" s="1" t="str">
        <f>+'CS-FG'!B96</f>
        <v>Powder</v>
      </c>
      <c r="C71" s="1">
        <f>+'CS-FG'!C96</f>
        <v>15000</v>
      </c>
      <c r="D71" s="1">
        <f>+'CS-FG'!D96</f>
        <v>15750</v>
      </c>
      <c r="E71" s="1">
        <f>+'CS-FG'!E96</f>
        <v>16540</v>
      </c>
      <c r="F71" s="1">
        <f>+'CS-FG'!F96</f>
        <v>17370</v>
      </c>
      <c r="G71" s="1">
        <f>+'CS-FG'!G96</f>
        <v>18240</v>
      </c>
      <c r="H71" s="1">
        <f>+'CS-FG'!H96</f>
        <v>19150</v>
      </c>
      <c r="I71" s="1">
        <f>+'CS-FG'!I96</f>
        <v>20110</v>
      </c>
      <c r="J71" s="1">
        <f>+'CS-FG'!J96</f>
        <v>21120</v>
      </c>
      <c r="K71" s="1">
        <f>+'CS-FG'!K96</f>
        <v>22180</v>
      </c>
      <c r="L71" s="1">
        <f>+'CS-FG'!L96</f>
        <v>23290</v>
      </c>
    </row>
    <row r="72" spans="1:12" hidden="1" x14ac:dyDescent="0.25">
      <c r="A72" s="133" t="s">
        <v>696</v>
      </c>
      <c r="B72" s="1" t="str">
        <f>+'CS-FG'!B97</f>
        <v>Waste</v>
      </c>
      <c r="C72" s="1">
        <f>+'CS-FG'!C97</f>
        <v>0</v>
      </c>
      <c r="D72" s="1">
        <f>+'CS-FG'!D97</f>
        <v>0</v>
      </c>
      <c r="E72" s="1">
        <f>+'CS-FG'!E97</f>
        <v>0</v>
      </c>
      <c r="F72" s="1">
        <f>+'CS-FG'!F97</f>
        <v>0</v>
      </c>
      <c r="G72" s="1">
        <f>+'CS-FG'!G97</f>
        <v>0</v>
      </c>
      <c r="H72" s="1">
        <f>+'CS-FG'!H97</f>
        <v>0</v>
      </c>
      <c r="I72" s="1">
        <f>+'CS-FG'!I97</f>
        <v>0</v>
      </c>
      <c r="J72" s="1">
        <f>+'CS-FG'!J97</f>
        <v>0</v>
      </c>
      <c r="K72" s="1">
        <f>+'CS-FG'!K97</f>
        <v>0</v>
      </c>
      <c r="L72" s="1">
        <f>+'CS-FG'!L97</f>
        <v>0</v>
      </c>
    </row>
    <row r="73" spans="1:12" x14ac:dyDescent="0.25">
      <c r="A73" s="133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1:12" hidden="1" x14ac:dyDescent="0.25"/>
    <row r="75" spans="1:12" hidden="1" x14ac:dyDescent="0.25">
      <c r="A75" s="60">
        <v>13</v>
      </c>
      <c r="B75" s="3" t="s">
        <v>384</v>
      </c>
      <c r="C75" s="38">
        <v>0.09</v>
      </c>
    </row>
    <row r="76" spans="1:12" hidden="1" x14ac:dyDescent="0.25"/>
    <row r="77" spans="1:12" hidden="1" x14ac:dyDescent="0.25">
      <c r="A77" s="60">
        <v>14</v>
      </c>
      <c r="B77" s="3" t="s">
        <v>385</v>
      </c>
      <c r="C77" s="1" t="s">
        <v>386</v>
      </c>
    </row>
    <row r="79" spans="1:12" x14ac:dyDescent="0.25">
      <c r="A79" s="60">
        <v>13</v>
      </c>
      <c r="B79" s="3" t="s">
        <v>387</v>
      </c>
      <c r="C79" s="82">
        <v>0.3</v>
      </c>
    </row>
    <row r="81" spans="1:3" x14ac:dyDescent="0.25">
      <c r="A81" s="60">
        <v>14</v>
      </c>
      <c r="B81" s="3" t="s">
        <v>388</v>
      </c>
      <c r="C81" s="1" t="s">
        <v>389</v>
      </c>
    </row>
    <row r="83" spans="1:3" x14ac:dyDescent="0.25">
      <c r="A83" s="60">
        <v>15</v>
      </c>
      <c r="B83" s="3" t="s">
        <v>390</v>
      </c>
      <c r="C83" s="1" t="s">
        <v>389</v>
      </c>
    </row>
  </sheetData>
  <pageMargins left="0.7" right="0.7" top="0.75" bottom="0.75" header="0.3" footer="0.3"/>
  <pageSetup scale="4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view="pageBreakPreview" zoomScale="90" zoomScaleNormal="100" zoomScaleSheetLayoutView="90" workbookViewId="0">
      <selection activeCell="A4" sqref="A4:K13"/>
    </sheetView>
  </sheetViews>
  <sheetFormatPr defaultRowHeight="15" x14ac:dyDescent="0.25"/>
  <cols>
    <col min="1" max="1" width="22.85546875" customWidth="1"/>
  </cols>
  <sheetData>
    <row r="3" spans="1:11" x14ac:dyDescent="0.25">
      <c r="A3" s="362" t="s">
        <v>288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5">
      <c r="A4" s="17" t="s">
        <v>1</v>
      </c>
      <c r="B4" s="17" t="s">
        <v>36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495</v>
      </c>
      <c r="J4" s="17" t="s">
        <v>496</v>
      </c>
      <c r="K4" s="17" t="s">
        <v>497</v>
      </c>
    </row>
    <row r="5" spans="1:11" x14ac:dyDescent="0.25">
      <c r="A5" s="6" t="s">
        <v>289</v>
      </c>
      <c r="B5" s="19">
        <f>'P&amp;L'!B34</f>
        <v>5.5947939062500023</v>
      </c>
      <c r="C5" s="19">
        <f>'P&amp;L'!C34</f>
        <v>9.5839537359375999</v>
      </c>
      <c r="D5" s="19">
        <f>'P&amp;L'!D34</f>
        <v>13.122096412265648</v>
      </c>
      <c r="E5" s="19">
        <f>'P&amp;L'!E34</f>
        <v>17.265691854753936</v>
      </c>
      <c r="F5" s="19">
        <f>'P&amp;L'!F34</f>
        <v>22.675014222960403</v>
      </c>
      <c r="G5" s="19">
        <f>'P&amp;L'!G34</f>
        <v>26.126392016920867</v>
      </c>
      <c r="H5" s="19">
        <f>'P&amp;L'!H34</f>
        <v>32.190854543235751</v>
      </c>
      <c r="I5" s="19">
        <f>'P&amp;L'!I34</f>
        <v>37.44211629227258</v>
      </c>
      <c r="J5" s="19">
        <f>'P&amp;L'!J34</f>
        <v>47.13241506516723</v>
      </c>
      <c r="K5" s="19">
        <f>'P&amp;L'!K34</f>
        <v>53.968494113738167</v>
      </c>
    </row>
    <row r="6" spans="1:11" ht="30" x14ac:dyDescent="0.25">
      <c r="A6" s="10" t="s">
        <v>290</v>
      </c>
      <c r="B6" s="19">
        <f>'P&amp;L'!B32</f>
        <v>4.7021909999999991</v>
      </c>
      <c r="C6" s="19">
        <f>'P&amp;L'!C32</f>
        <v>4.7021909999999991</v>
      </c>
      <c r="D6" s="19">
        <f>'P&amp;L'!D32</f>
        <v>4.7021909999999991</v>
      </c>
      <c r="E6" s="19">
        <f>'P&amp;L'!E32</f>
        <v>4.7021909999999991</v>
      </c>
      <c r="F6" s="19">
        <f>'P&amp;L'!F32</f>
        <v>4.7021909999999991</v>
      </c>
      <c r="G6" s="19">
        <f>'P&amp;L'!G32</f>
        <v>4.7021909999999991</v>
      </c>
      <c r="H6" s="19">
        <f>'P&amp;L'!H32</f>
        <v>4.7021909999999991</v>
      </c>
      <c r="I6" s="19">
        <f>'P&amp;L'!I32</f>
        <v>4.7021909999999991</v>
      </c>
      <c r="J6" s="19">
        <f>'P&amp;L'!J32</f>
        <v>4.7021909999999991</v>
      </c>
      <c r="K6" s="19">
        <f>'P&amp;L'!K32</f>
        <v>4.7021909999999991</v>
      </c>
    </row>
    <row r="7" spans="1:11" ht="30" x14ac:dyDescent="0.25">
      <c r="A7" s="10" t="s">
        <v>291</v>
      </c>
      <c r="B7" s="19">
        <f>Depn!P20</f>
        <v>12.220499999999998</v>
      </c>
      <c r="C7" s="19">
        <f>Depn!Q20</f>
        <v>10.604024999999998</v>
      </c>
      <c r="D7" s="19">
        <f>Depn!R20</f>
        <v>9.2083612499999994</v>
      </c>
      <c r="E7" s="19">
        <f>Depn!S20</f>
        <v>8.0025530624999988</v>
      </c>
      <c r="F7" s="19">
        <f>Depn!T20</f>
        <v>6.9600715031249987</v>
      </c>
      <c r="G7" s="19">
        <f>Depn!U20</f>
        <v>6.0581720376562487</v>
      </c>
      <c r="H7" s="19">
        <f>Depn!V20</f>
        <v>5.2773463660078122</v>
      </c>
      <c r="I7" s="19">
        <f>Depn!W20</f>
        <v>4.6008545317066396</v>
      </c>
      <c r="J7" s="19">
        <f>Depn!X20</f>
        <v>4.0143254604906442</v>
      </c>
      <c r="K7" s="19">
        <f>Depn!Y20</f>
        <v>3.5054158391030477</v>
      </c>
    </row>
    <row r="8" spans="1:11" x14ac:dyDescent="0.25">
      <c r="A8" s="10" t="s">
        <v>292</v>
      </c>
      <c r="B8" s="19">
        <f>'P&amp;L'!B27</f>
        <v>0.47954999999999998</v>
      </c>
      <c r="C8" s="19">
        <f>'P&amp;L'!C27</f>
        <v>0.47954999999999998</v>
      </c>
      <c r="D8" s="19">
        <f>'P&amp;L'!D27</f>
        <v>0.47954999999999998</v>
      </c>
      <c r="E8" s="19">
        <f>'P&amp;L'!E27</f>
        <v>0.47954999999999998</v>
      </c>
      <c r="F8" s="19">
        <f>'P&amp;L'!F27</f>
        <v>0.47954999999999998</v>
      </c>
      <c r="G8" s="19">
        <f>'P&amp;L'!G27</f>
        <v>0.47954999999999998</v>
      </c>
      <c r="H8" s="19">
        <f>'P&amp;L'!H27</f>
        <v>0.47954999999999998</v>
      </c>
      <c r="I8" s="19">
        <f>'P&amp;L'!I27</f>
        <v>0.47954999999999998</v>
      </c>
      <c r="J8" s="19">
        <f>'P&amp;L'!J27</f>
        <v>0.47954999999999998</v>
      </c>
      <c r="K8" s="19">
        <f>'P&amp;L'!K27</f>
        <v>0.47954999999999998</v>
      </c>
    </row>
    <row r="9" spans="1:11" x14ac:dyDescent="0.25">
      <c r="A9" s="10" t="s">
        <v>293</v>
      </c>
      <c r="B9" s="19">
        <f>B5+B6-B7-B8</f>
        <v>-2.4030650937499964</v>
      </c>
      <c r="C9" s="19">
        <f t="shared" ref="C9:K9" si="0">C5+C6-C7-C8</f>
        <v>3.2025697359376006</v>
      </c>
      <c r="D9" s="19">
        <f t="shared" si="0"/>
        <v>8.1363761622656483</v>
      </c>
      <c r="E9" s="19">
        <f t="shared" si="0"/>
        <v>13.485779792253936</v>
      </c>
      <c r="F9" s="19">
        <f t="shared" si="0"/>
        <v>19.937583719835406</v>
      </c>
      <c r="G9" s="19">
        <f t="shared" si="0"/>
        <v>24.290860979264618</v>
      </c>
      <c r="H9" s="19">
        <f t="shared" si="0"/>
        <v>31.136149177227939</v>
      </c>
      <c r="I9" s="19">
        <f t="shared" si="0"/>
        <v>37.063902760565938</v>
      </c>
      <c r="J9" s="19">
        <f t="shared" si="0"/>
        <v>47.34073060467658</v>
      </c>
      <c r="K9" s="19">
        <f t="shared" si="0"/>
        <v>54.685719274635119</v>
      </c>
    </row>
    <row r="10" spans="1:11" x14ac:dyDescent="0.25">
      <c r="A10" s="10" t="s">
        <v>638</v>
      </c>
      <c r="B10" s="19">
        <v>0</v>
      </c>
      <c r="C10" s="19">
        <f>+B11</f>
        <v>-2.4030650937499964</v>
      </c>
      <c r="D10" s="19">
        <f t="shared" ref="D10:K10" si="1">+C11</f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</row>
    <row r="11" spans="1:11" x14ac:dyDescent="0.25">
      <c r="A11" s="10" t="s">
        <v>639</v>
      </c>
      <c r="B11" s="19">
        <f>+IF((B9+B10)&lt;0,B9+B10,0)</f>
        <v>-2.4030650937499964</v>
      </c>
      <c r="C11" s="19">
        <f>+IF((C9+C10)&lt;0,C9+C10,0)</f>
        <v>0</v>
      </c>
      <c r="D11" s="19">
        <f t="shared" ref="D11:K11" si="2">+IF((D9+D10)&lt;0,D9+D10,0)</f>
        <v>0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</row>
    <row r="12" spans="1:11" x14ac:dyDescent="0.25">
      <c r="A12" s="10" t="s">
        <v>625</v>
      </c>
      <c r="B12" s="19">
        <f t="shared" ref="B12:K12" si="3">+B9+B10-B11</f>
        <v>0</v>
      </c>
      <c r="C12" s="19">
        <f t="shared" si="3"/>
        <v>0.7995046421876042</v>
      </c>
      <c r="D12" s="19">
        <f t="shared" si="3"/>
        <v>8.1363761622656483</v>
      </c>
      <c r="E12" s="19">
        <f t="shared" si="3"/>
        <v>13.485779792253936</v>
      </c>
      <c r="F12" s="19">
        <f t="shared" si="3"/>
        <v>19.937583719835406</v>
      </c>
      <c r="G12" s="19">
        <f t="shared" si="3"/>
        <v>24.290860979264618</v>
      </c>
      <c r="H12" s="19">
        <f t="shared" si="3"/>
        <v>31.136149177227939</v>
      </c>
      <c r="I12" s="19">
        <f t="shared" si="3"/>
        <v>37.063902760565938</v>
      </c>
      <c r="J12" s="19">
        <f t="shared" si="3"/>
        <v>47.34073060467658</v>
      </c>
      <c r="K12" s="19">
        <f t="shared" si="3"/>
        <v>54.685719274635119</v>
      </c>
    </row>
    <row r="13" spans="1:11" x14ac:dyDescent="0.25">
      <c r="A13" s="83" t="s">
        <v>603</v>
      </c>
      <c r="B13" s="22">
        <f>B12*0.3</f>
        <v>0</v>
      </c>
      <c r="C13" s="22">
        <f>C12*0.3</f>
        <v>0.23985139265628125</v>
      </c>
      <c r="D13" s="22">
        <f t="shared" ref="D13:K13" si="4">D12*0.3</f>
        <v>2.4409128486796945</v>
      </c>
      <c r="E13" s="22">
        <f t="shared" si="4"/>
        <v>4.0457339376761805</v>
      </c>
      <c r="F13" s="22">
        <f t="shared" si="4"/>
        <v>5.9812751159506217</v>
      </c>
      <c r="G13" s="22">
        <f t="shared" si="4"/>
        <v>7.2872582937793853</v>
      </c>
      <c r="H13" s="22">
        <f t="shared" si="4"/>
        <v>9.3408447531683816</v>
      </c>
      <c r="I13" s="22">
        <f t="shared" si="4"/>
        <v>11.11917082816978</v>
      </c>
      <c r="J13" s="22">
        <f t="shared" si="4"/>
        <v>14.202219181402974</v>
      </c>
      <c r="K13" s="22">
        <f t="shared" si="4"/>
        <v>16.405715782390534</v>
      </c>
    </row>
  </sheetData>
  <mergeCells count="1">
    <mergeCell ref="A3:K3"/>
  </mergeCells>
  <pageMargins left="0.7" right="0.7" top="0.75" bottom="0.75" header="0.3" footer="0.3"/>
  <pageSetup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9"/>
  <sheetViews>
    <sheetView view="pageBreakPreview" topLeftCell="A3" zoomScale="60" zoomScaleNormal="100" workbookViewId="0">
      <selection activeCell="A4" sqref="A4:L50"/>
    </sheetView>
  </sheetViews>
  <sheetFormatPr defaultColWidth="9.140625" defaultRowHeight="15" x14ac:dyDescent="0.25"/>
  <cols>
    <col min="1" max="1" width="29.7109375" style="84" bestFit="1" customWidth="1"/>
    <col min="2" max="3" width="11.28515625" style="84" bestFit="1" customWidth="1"/>
    <col min="4" max="7" width="11.85546875" style="84" bestFit="1" customWidth="1"/>
    <col min="8" max="8" width="11.28515625" style="84" bestFit="1" customWidth="1"/>
    <col min="9" max="10" width="11.85546875" style="84" bestFit="1" customWidth="1"/>
    <col min="11" max="11" width="11.28515625" style="84" bestFit="1" customWidth="1"/>
    <col min="12" max="12" width="11.85546875" style="84" bestFit="1" customWidth="1"/>
    <col min="13" max="16384" width="9.140625" style="84"/>
  </cols>
  <sheetData>
    <row r="1" spans="1:12" x14ac:dyDescent="0.25">
      <c r="A1" s="364"/>
      <c r="B1" s="364"/>
      <c r="C1" s="364"/>
      <c r="D1" s="364"/>
      <c r="E1" s="364"/>
      <c r="F1" s="364"/>
      <c r="G1" s="364"/>
    </row>
    <row r="2" spans="1:12" x14ac:dyDescent="0.25">
      <c r="A2" s="364" t="s">
        <v>294</v>
      </c>
      <c r="B2" s="364"/>
      <c r="C2" s="364"/>
      <c r="D2" s="364"/>
      <c r="E2" s="364"/>
      <c r="F2" s="364"/>
      <c r="G2" s="364"/>
      <c r="H2" s="364"/>
      <c r="I2" s="364"/>
    </row>
    <row r="4" spans="1:12" s="86" customFormat="1" x14ac:dyDescent="0.25">
      <c r="A4" s="221" t="s">
        <v>1</v>
      </c>
      <c r="B4" s="221" t="s">
        <v>445</v>
      </c>
      <c r="C4" s="221" t="s">
        <v>36</v>
      </c>
      <c r="D4" s="221" t="s">
        <v>37</v>
      </c>
      <c r="E4" s="221" t="s">
        <v>38</v>
      </c>
      <c r="F4" s="221" t="s">
        <v>39</v>
      </c>
      <c r="G4" s="221" t="s">
        <v>40</v>
      </c>
      <c r="H4" s="221" t="s">
        <v>41</v>
      </c>
      <c r="I4" s="221" t="s">
        <v>42</v>
      </c>
      <c r="J4" s="221" t="s">
        <v>495</v>
      </c>
      <c r="K4" s="221" t="s">
        <v>496</v>
      </c>
      <c r="L4" s="221" t="s">
        <v>497</v>
      </c>
    </row>
    <row r="5" spans="1:12" x14ac:dyDescent="0.25">
      <c r="A5" s="85" t="s">
        <v>295</v>
      </c>
      <c r="B5" s="85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5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5">
      <c r="A7" s="34" t="s">
        <v>296</v>
      </c>
      <c r="B7" s="179">
        <f>'Project Glance'!B19</f>
        <v>44.977811458333335</v>
      </c>
      <c r="C7" s="88">
        <f>'Project Glance'!B19</f>
        <v>44.977811458333335</v>
      </c>
      <c r="D7" s="88">
        <f>C7</f>
        <v>44.977811458333335</v>
      </c>
      <c r="E7" s="88">
        <f t="shared" ref="E7:I7" si="0">D7</f>
        <v>44.977811458333335</v>
      </c>
      <c r="F7" s="88">
        <f t="shared" si="0"/>
        <v>44.977811458333335</v>
      </c>
      <c r="G7" s="88">
        <f t="shared" si="0"/>
        <v>44.977811458333335</v>
      </c>
      <c r="H7" s="88">
        <f t="shared" si="0"/>
        <v>44.977811458333335</v>
      </c>
      <c r="I7" s="88">
        <f t="shared" si="0"/>
        <v>44.977811458333335</v>
      </c>
      <c r="J7" s="88">
        <f t="shared" ref="J7" si="1">I7</f>
        <v>44.977811458333335</v>
      </c>
      <c r="K7" s="88">
        <f t="shared" ref="K7" si="2">J7</f>
        <v>44.977811458333335</v>
      </c>
      <c r="L7" s="88">
        <f t="shared" ref="L7" si="3">K7</f>
        <v>44.977811458333335</v>
      </c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34" t="s">
        <v>297</v>
      </c>
      <c r="B9" s="89">
        <f t="shared" ref="B9:I9" si="4">SUM(B7:B8)</f>
        <v>44.977811458333335</v>
      </c>
      <c r="C9" s="89">
        <f t="shared" si="4"/>
        <v>44.977811458333335</v>
      </c>
      <c r="D9" s="89">
        <f t="shared" si="4"/>
        <v>44.977811458333335</v>
      </c>
      <c r="E9" s="89">
        <f t="shared" si="4"/>
        <v>44.977811458333335</v>
      </c>
      <c r="F9" s="89">
        <f t="shared" si="4"/>
        <v>44.977811458333335</v>
      </c>
      <c r="G9" s="89">
        <f t="shared" si="4"/>
        <v>44.977811458333335</v>
      </c>
      <c r="H9" s="89">
        <f t="shared" si="4"/>
        <v>44.977811458333335</v>
      </c>
      <c r="I9" s="89">
        <f t="shared" si="4"/>
        <v>44.977811458333335</v>
      </c>
      <c r="J9" s="89">
        <f t="shared" ref="J9:L9" si="5">SUM(J7:J8)</f>
        <v>44.977811458333335</v>
      </c>
      <c r="K9" s="89">
        <f t="shared" si="5"/>
        <v>44.977811458333335</v>
      </c>
      <c r="L9" s="89">
        <f t="shared" si="5"/>
        <v>44.977811458333335</v>
      </c>
    </row>
    <row r="10" spans="1:12" x14ac:dyDescent="0.25">
      <c r="A10" s="34"/>
      <c r="B10" s="34"/>
      <c r="C10" s="88"/>
      <c r="D10" s="88"/>
      <c r="E10" s="88"/>
      <c r="F10" s="88"/>
      <c r="G10" s="88"/>
      <c r="H10" s="77"/>
      <c r="I10" s="77"/>
      <c r="J10" s="77"/>
      <c r="K10" s="77"/>
      <c r="L10" s="77"/>
    </row>
    <row r="11" spans="1:12" x14ac:dyDescent="0.25">
      <c r="A11" s="90" t="s">
        <v>298</v>
      </c>
      <c r="B11" s="90"/>
      <c r="C11" s="88"/>
      <c r="D11" s="88"/>
      <c r="E11" s="88"/>
      <c r="F11" s="88"/>
      <c r="G11" s="88"/>
      <c r="H11" s="77"/>
      <c r="I11" s="77"/>
      <c r="J11" s="77"/>
      <c r="K11" s="77"/>
      <c r="L11" s="77"/>
    </row>
    <row r="12" spans="1:12" x14ac:dyDescent="0.25">
      <c r="A12" s="90"/>
      <c r="B12" s="90"/>
      <c r="C12" s="88"/>
      <c r="D12" s="88"/>
      <c r="E12" s="88"/>
      <c r="F12" s="88"/>
      <c r="G12" s="88"/>
      <c r="H12" s="77"/>
      <c r="I12" s="77"/>
      <c r="J12" s="77"/>
      <c r="K12" s="77"/>
      <c r="L12" s="77"/>
    </row>
    <row r="13" spans="1:12" x14ac:dyDescent="0.25">
      <c r="A13" s="77" t="s">
        <v>324</v>
      </c>
      <c r="B13" s="179">
        <f>'Project Glance'!B20</f>
        <v>60.423299999999998</v>
      </c>
      <c r="C13" s="88">
        <f>B13</f>
        <v>60.423299999999998</v>
      </c>
      <c r="D13" s="88">
        <f t="shared" ref="D13:I13" si="6">C13</f>
        <v>60.423299999999998</v>
      </c>
      <c r="E13" s="88">
        <f t="shared" si="6"/>
        <v>60.423299999999998</v>
      </c>
      <c r="F13" s="88">
        <f t="shared" si="6"/>
        <v>60.423299999999998</v>
      </c>
      <c r="G13" s="88">
        <f t="shared" si="6"/>
        <v>60.423299999999998</v>
      </c>
      <c r="H13" s="88">
        <f t="shared" si="6"/>
        <v>60.423299999999998</v>
      </c>
      <c r="I13" s="88">
        <f t="shared" si="6"/>
        <v>60.423299999999998</v>
      </c>
      <c r="J13" s="88">
        <f t="shared" ref="J13" si="7">I13</f>
        <v>60.423299999999998</v>
      </c>
      <c r="K13" s="88">
        <f t="shared" ref="K13" si="8">J13</f>
        <v>60.423299999999998</v>
      </c>
      <c r="L13" s="88">
        <f t="shared" ref="L13" si="9">K13</f>
        <v>60.423299999999998</v>
      </c>
    </row>
    <row r="14" spans="1:12" x14ac:dyDescent="0.25">
      <c r="A14" s="90"/>
      <c r="B14" s="90"/>
      <c r="C14" s="88"/>
      <c r="D14" s="88"/>
      <c r="E14" s="88"/>
      <c r="F14" s="88"/>
      <c r="G14" s="88"/>
      <c r="H14" s="77"/>
      <c r="I14" s="77"/>
      <c r="J14" s="77"/>
      <c r="K14" s="77"/>
      <c r="L14" s="77"/>
    </row>
    <row r="15" spans="1:12" x14ac:dyDescent="0.25">
      <c r="A15" s="90" t="s">
        <v>299</v>
      </c>
      <c r="B15" s="90"/>
      <c r="C15" s="88"/>
      <c r="D15" s="88"/>
      <c r="E15" s="88"/>
      <c r="F15" s="88"/>
      <c r="G15" s="88"/>
      <c r="H15" s="77"/>
      <c r="I15" s="77"/>
      <c r="J15" s="77"/>
      <c r="K15" s="77"/>
      <c r="L15" s="77"/>
    </row>
    <row r="16" spans="1:12" x14ac:dyDescent="0.25">
      <c r="A16" s="77" t="s">
        <v>300</v>
      </c>
      <c r="B16" s="88">
        <v>0</v>
      </c>
      <c r="C16" s="88">
        <v>0</v>
      </c>
      <c r="D16" s="88">
        <f>C19</f>
        <v>5.5947939062500023</v>
      </c>
      <c r="E16" s="88">
        <f>D19</f>
        <v>14.938896249531322</v>
      </c>
      <c r="F16" s="88">
        <f>E19</f>
        <v>25.620079813117275</v>
      </c>
      <c r="G16" s="88">
        <f>F19</f>
        <v>38.840037730195029</v>
      </c>
      <c r="H16" s="88">
        <f t="shared" ref="H16:I16" si="10">G19</f>
        <v>55.533776837204812</v>
      </c>
      <c r="I16" s="88">
        <f t="shared" si="10"/>
        <v>74.372910560346298</v>
      </c>
      <c r="J16" s="88">
        <f t="shared" ref="J16" si="11">I19</f>
        <v>97.222920350413659</v>
      </c>
      <c r="K16" s="88">
        <f t="shared" ref="K16" si="12">J19</f>
        <v>123.54586581451646</v>
      </c>
      <c r="L16" s="88">
        <f t="shared" ref="L16" si="13">K19</f>
        <v>156.47606169828072</v>
      </c>
    </row>
    <row r="17" spans="1:92" x14ac:dyDescent="0.25">
      <c r="A17" s="77"/>
      <c r="B17" s="88"/>
      <c r="C17" s="91"/>
      <c r="D17" s="88"/>
      <c r="E17" s="88"/>
      <c r="F17" s="88"/>
      <c r="G17" s="88"/>
      <c r="H17" s="77"/>
      <c r="I17" s="77"/>
      <c r="J17" s="77"/>
      <c r="K17" s="77"/>
      <c r="L17" s="77"/>
    </row>
    <row r="18" spans="1:92" x14ac:dyDescent="0.25">
      <c r="A18" s="77" t="s">
        <v>301</v>
      </c>
      <c r="B18" s="88">
        <v>0</v>
      </c>
      <c r="C18" s="88">
        <f>'P&amp;L'!B36</f>
        <v>5.5947939062500023</v>
      </c>
      <c r="D18" s="88">
        <f>'P&amp;L'!C36</f>
        <v>9.3441023432813193</v>
      </c>
      <c r="E18" s="88">
        <f>'P&amp;L'!D36</f>
        <v>10.681183563585954</v>
      </c>
      <c r="F18" s="88">
        <f>'P&amp;L'!E36</f>
        <v>13.219957917077755</v>
      </c>
      <c r="G18" s="88">
        <f>'P&amp;L'!F36</f>
        <v>16.693739107009783</v>
      </c>
      <c r="H18" s="88">
        <f>'P&amp;L'!G36</f>
        <v>18.839133723141483</v>
      </c>
      <c r="I18" s="88">
        <f>'P&amp;L'!H36</f>
        <v>22.850009790067368</v>
      </c>
      <c r="J18" s="88">
        <f>'P&amp;L'!I36</f>
        <v>26.322945464102801</v>
      </c>
      <c r="K18" s="88">
        <f>'P&amp;L'!J36</f>
        <v>32.930195883764256</v>
      </c>
      <c r="L18" s="88">
        <f>'P&amp;L'!K36</f>
        <v>37.56277833134763</v>
      </c>
    </row>
    <row r="19" spans="1:92" x14ac:dyDescent="0.25">
      <c r="A19" s="77" t="s">
        <v>302</v>
      </c>
      <c r="B19" s="88">
        <f t="shared" ref="B19:G19" si="14">B16+B18</f>
        <v>0</v>
      </c>
      <c r="C19" s="88">
        <f t="shared" si="14"/>
        <v>5.5947939062500023</v>
      </c>
      <c r="D19" s="88">
        <f t="shared" si="14"/>
        <v>14.938896249531322</v>
      </c>
      <c r="E19" s="88">
        <f t="shared" si="14"/>
        <v>25.620079813117275</v>
      </c>
      <c r="F19" s="88">
        <f t="shared" si="14"/>
        <v>38.840037730195029</v>
      </c>
      <c r="G19" s="88">
        <f t="shared" si="14"/>
        <v>55.533776837204812</v>
      </c>
      <c r="H19" s="88">
        <f t="shared" ref="H19:I19" si="15">H16+H18</f>
        <v>74.372910560346298</v>
      </c>
      <c r="I19" s="88">
        <f t="shared" si="15"/>
        <v>97.222920350413659</v>
      </c>
      <c r="J19" s="88">
        <f t="shared" ref="J19:L19" si="16">J16+J18</f>
        <v>123.54586581451646</v>
      </c>
      <c r="K19" s="88">
        <f t="shared" si="16"/>
        <v>156.47606169828072</v>
      </c>
      <c r="L19" s="88">
        <f t="shared" si="16"/>
        <v>194.03884002962835</v>
      </c>
    </row>
    <row r="20" spans="1:92" x14ac:dyDescent="0.25">
      <c r="A20" s="77" t="s">
        <v>303</v>
      </c>
      <c r="B20" s="92">
        <f>'Project Glance'!B21</f>
        <v>0</v>
      </c>
      <c r="C20" s="88">
        <f>'TL Schedule'!C7</f>
        <v>0</v>
      </c>
      <c r="D20" s="88">
        <f>'TL Schedule'!D7</f>
        <v>0</v>
      </c>
      <c r="E20" s="88">
        <f>'TL Schedule'!E7</f>
        <v>0</v>
      </c>
      <c r="F20" s="88">
        <f>'TL Schedule'!F7</f>
        <v>0</v>
      </c>
      <c r="G20" s="88">
        <f>'TL Schedule'!G7</f>
        <v>0</v>
      </c>
      <c r="H20" s="88">
        <f>'TL Schedule'!H7</f>
        <v>0</v>
      </c>
      <c r="I20" s="88">
        <f>'TL Schedule'!I7</f>
        <v>0</v>
      </c>
      <c r="J20" s="88">
        <f>'TL Schedule'!J7</f>
        <v>0</v>
      </c>
      <c r="K20" s="88">
        <f>'TL Schedule'!K7</f>
        <v>0</v>
      </c>
      <c r="L20" s="88">
        <f>'TL Schedule'!L7</f>
        <v>0</v>
      </c>
    </row>
    <row r="21" spans="1:92" x14ac:dyDescent="0.25">
      <c r="A21" s="77" t="s">
        <v>304</v>
      </c>
      <c r="B21" s="88">
        <v>0</v>
      </c>
      <c r="C21" s="88">
        <f>'WC Assessment'!C15</f>
        <v>14.086834375000002</v>
      </c>
      <c r="D21" s="88">
        <f>'WC Assessment'!D15</f>
        <v>17.818975156250005</v>
      </c>
      <c r="E21" s="88">
        <f>'WC Assessment'!E15</f>
        <v>21.158399585937499</v>
      </c>
      <c r="F21" s="88">
        <f>'WC Assessment'!F15</f>
        <v>23.118279877734377</v>
      </c>
      <c r="G21" s="88">
        <f>'WC Assessment'!G15</f>
        <v>26.935999699746095</v>
      </c>
      <c r="H21" s="88">
        <f>'WC Assessment'!H15</f>
        <v>30.109882653483403</v>
      </c>
      <c r="I21" s="88">
        <f>'WC Assessment'!I15</f>
        <v>33.971847614282566</v>
      </c>
      <c r="J21" s="88">
        <f>'WC Assessment'!J15</f>
        <v>37.997640307496702</v>
      </c>
      <c r="K21" s="88">
        <f>'WC Assessment'!K15</f>
        <v>42.879576119746545</v>
      </c>
      <c r="L21" s="88">
        <f>'WC Assessment'!L15</f>
        <v>47.852346644483866</v>
      </c>
    </row>
    <row r="22" spans="1:92" x14ac:dyDescent="0.25">
      <c r="A22" s="77" t="s">
        <v>305</v>
      </c>
      <c r="B22" s="88">
        <v>0</v>
      </c>
      <c r="C22" s="88">
        <f>('P&amp;L'!B16+'P&amp;L'!B23+'P&amp;L'!B25)/12</f>
        <v>21.152137499999998</v>
      </c>
      <c r="D22" s="88">
        <f>('P&amp;L'!C16+'P&amp;L'!C23+'P&amp;L'!C25)/12</f>
        <v>23.589035208333332</v>
      </c>
      <c r="E22" s="88">
        <f>('P&amp;L'!D16+'P&amp;L'!D23+'P&amp;L'!D25)/12</f>
        <v>26.835358885416671</v>
      </c>
      <c r="F22" s="88">
        <f>('P&amp;L'!E16+'P&amp;L'!E23+'P&amp;L'!E25)/12</f>
        <v>30.367924746354166</v>
      </c>
      <c r="G22" s="88">
        <f>('P&amp;L'!F16+'P&amp;L'!F23+'P&amp;L'!F25)/12</f>
        <v>34.20656290033854</v>
      </c>
      <c r="H22" s="88">
        <f>('P&amp;L'!G16+'P&amp;L'!G23+'P&amp;L'!G25)/12</f>
        <v>38.3210793786888</v>
      </c>
      <c r="I22" s="88">
        <f>('P&amp;L'!H16+'P&amp;L'!H23+'P&amp;L'!H25)/12</f>
        <v>42.78643651428991</v>
      </c>
      <c r="J22" s="88">
        <f>('P&amp;L'!I16+'P&amp;L'!I23+'P&amp;L'!I25)/12</f>
        <v>47.556915006671069</v>
      </c>
      <c r="K22" s="88">
        <f>('P&amp;L'!J16+'P&amp;L'!J23+'P&amp;L'!J25)/12</f>
        <v>52.537194340337955</v>
      </c>
      <c r="L22" s="88">
        <f>('P&amp;L'!K16+'P&amp;L'!K23+'P&amp;L'!K25)/12</f>
        <v>58.116114890688188</v>
      </c>
    </row>
    <row r="23" spans="1:92" x14ac:dyDescent="0.25">
      <c r="A23" s="77"/>
      <c r="B23" s="77"/>
      <c r="C23" s="88"/>
      <c r="D23" s="88"/>
      <c r="E23" s="88"/>
      <c r="F23" s="88"/>
      <c r="G23" s="88"/>
      <c r="H23" s="77"/>
      <c r="I23" s="77"/>
      <c r="J23" s="77"/>
      <c r="K23" s="77"/>
      <c r="L23" s="77"/>
    </row>
    <row r="24" spans="1:92" x14ac:dyDescent="0.25">
      <c r="A24" s="85" t="s">
        <v>306</v>
      </c>
      <c r="B24" s="89">
        <f>SUM(B19:B22)+B9+B13</f>
        <v>105.40111145833333</v>
      </c>
      <c r="C24" s="89">
        <f>SUM(C19:C22)+C9+C13</f>
        <v>146.23487723958334</v>
      </c>
      <c r="D24" s="89">
        <f t="shared" ref="D24:L24" si="17">SUM(D19:D22)+D9+D13</f>
        <v>161.74801807244799</v>
      </c>
      <c r="E24" s="89">
        <f t="shared" si="17"/>
        <v>179.01494974280479</v>
      </c>
      <c r="F24" s="89">
        <f t="shared" si="17"/>
        <v>197.72735381261691</v>
      </c>
      <c r="G24" s="89">
        <f t="shared" si="17"/>
        <v>222.07745089562275</v>
      </c>
      <c r="H24" s="89">
        <f t="shared" si="17"/>
        <v>248.20498405085181</v>
      </c>
      <c r="I24" s="89">
        <f t="shared" si="17"/>
        <v>279.38231593731945</v>
      </c>
      <c r="J24" s="89">
        <f t="shared" si="17"/>
        <v>314.50153258701755</v>
      </c>
      <c r="K24" s="89">
        <f t="shared" si="17"/>
        <v>357.29394361669853</v>
      </c>
      <c r="L24" s="89">
        <f t="shared" si="17"/>
        <v>405.40841302313373</v>
      </c>
      <c r="M24" s="93"/>
      <c r="N24" s="93"/>
      <c r="O24" s="93"/>
      <c r="P24" s="93"/>
    </row>
    <row r="25" spans="1:92" x14ac:dyDescent="0.25">
      <c r="A25" s="77"/>
      <c r="B25" s="77"/>
      <c r="C25" s="88"/>
      <c r="D25" s="88"/>
      <c r="E25" s="88"/>
      <c r="F25" s="88"/>
      <c r="G25" s="88"/>
      <c r="H25" s="77"/>
      <c r="I25" s="77"/>
      <c r="J25" s="77"/>
      <c r="K25" s="77"/>
      <c r="L25" s="77"/>
    </row>
    <row r="26" spans="1:92" x14ac:dyDescent="0.25">
      <c r="A26" s="85" t="s">
        <v>307</v>
      </c>
      <c r="B26" s="85"/>
      <c r="C26" s="88"/>
      <c r="D26" s="88"/>
      <c r="E26" s="88"/>
      <c r="F26" s="88"/>
      <c r="G26" s="88"/>
      <c r="H26" s="92"/>
      <c r="I26" s="92"/>
      <c r="J26" s="92"/>
      <c r="K26" s="92"/>
      <c r="L26" s="92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x14ac:dyDescent="0.25">
      <c r="A27" s="34" t="s">
        <v>308</v>
      </c>
      <c r="B27" s="34"/>
      <c r="C27" s="88"/>
      <c r="D27" s="88"/>
      <c r="E27" s="88"/>
      <c r="F27" s="88"/>
      <c r="G27" s="88"/>
      <c r="H27" s="77"/>
      <c r="I27" s="77"/>
      <c r="J27" s="77"/>
      <c r="K27" s="77"/>
      <c r="L27" s="77"/>
    </row>
    <row r="28" spans="1:92" x14ac:dyDescent="0.25">
      <c r="A28" s="87" t="s">
        <v>309</v>
      </c>
      <c r="B28" s="184">
        <f>'Project Glance'!B6+'Project Glance'!B7+'Project Glance'!B8+'Project Glance'!B9+'Project Glance'!B11</f>
        <v>95.91</v>
      </c>
      <c r="C28" s="88">
        <f>Depn!C19</f>
        <v>95.91</v>
      </c>
      <c r="D28" s="88">
        <f>Depn!D19</f>
        <v>91.207808999999997</v>
      </c>
      <c r="E28" s="88">
        <f>Depn!E19</f>
        <v>86.505617999999998</v>
      </c>
      <c r="F28" s="88">
        <f>Depn!F19</f>
        <v>81.803426999999999</v>
      </c>
      <c r="G28" s="88">
        <f>Depn!G19</f>
        <v>77.101236</v>
      </c>
      <c r="H28" s="88">
        <f>Depn!H19</f>
        <v>72.399045000000001</v>
      </c>
      <c r="I28" s="88">
        <f>Depn!I19</f>
        <v>67.696854000000002</v>
      </c>
      <c r="J28" s="88">
        <f>Depn!J19</f>
        <v>62.994662999999996</v>
      </c>
      <c r="K28" s="88">
        <f>Depn!K19</f>
        <v>58.292471999999997</v>
      </c>
      <c r="L28" s="88">
        <f>Depn!L19</f>
        <v>53.590280999999997</v>
      </c>
    </row>
    <row r="29" spans="1:92" x14ac:dyDescent="0.25">
      <c r="A29" s="76" t="s">
        <v>449</v>
      </c>
      <c r="B29" s="185">
        <v>0</v>
      </c>
      <c r="C29" s="88">
        <f>Depn!C20</f>
        <v>4.7021909999999991</v>
      </c>
      <c r="D29" s="88">
        <f>Depn!D20</f>
        <v>4.7021909999999991</v>
      </c>
      <c r="E29" s="88">
        <f>Depn!E20</f>
        <v>4.7021909999999991</v>
      </c>
      <c r="F29" s="88">
        <f>Depn!F20</f>
        <v>4.7021909999999991</v>
      </c>
      <c r="G29" s="88">
        <f>Depn!G20</f>
        <v>4.7021909999999991</v>
      </c>
      <c r="H29" s="88">
        <f>Depn!H20</f>
        <v>4.7021909999999991</v>
      </c>
      <c r="I29" s="88">
        <f>Depn!I20</f>
        <v>4.7021909999999991</v>
      </c>
      <c r="J29" s="88">
        <f>Depn!J20</f>
        <v>4.7021909999999991</v>
      </c>
      <c r="K29" s="88">
        <f>Depn!K20</f>
        <v>4.7021909999999991</v>
      </c>
      <c r="L29" s="88">
        <f>Depn!L20</f>
        <v>4.7021909999999991</v>
      </c>
    </row>
    <row r="30" spans="1:92" x14ac:dyDescent="0.25">
      <c r="A30" s="87" t="s">
        <v>310</v>
      </c>
      <c r="B30" s="185">
        <f>B28-B29</f>
        <v>95.91</v>
      </c>
      <c r="C30" s="88">
        <f>Depn!C21</f>
        <v>91.207808999999997</v>
      </c>
      <c r="D30" s="88">
        <f>Depn!D21</f>
        <v>86.505617999999998</v>
      </c>
      <c r="E30" s="88">
        <f>Depn!E21</f>
        <v>81.803426999999999</v>
      </c>
      <c r="F30" s="88">
        <f>Depn!F21</f>
        <v>77.101236</v>
      </c>
      <c r="G30" s="88">
        <f>Depn!G21</f>
        <v>72.399045000000001</v>
      </c>
      <c r="H30" s="88">
        <f>Depn!H21</f>
        <v>67.696854000000002</v>
      </c>
      <c r="I30" s="88">
        <f>Depn!I21</f>
        <v>62.994662999999996</v>
      </c>
      <c r="J30" s="88">
        <f>Depn!J21</f>
        <v>58.292471999999997</v>
      </c>
      <c r="K30" s="88">
        <f>Depn!K21</f>
        <v>53.590280999999997</v>
      </c>
      <c r="L30" s="88">
        <f>Depn!L21</f>
        <v>48.888089999999998</v>
      </c>
    </row>
    <row r="31" spans="1:92" x14ac:dyDescent="0.25">
      <c r="A31" s="87"/>
      <c r="B31" s="87"/>
      <c r="C31" s="88"/>
      <c r="D31" s="88"/>
      <c r="E31" s="88"/>
      <c r="F31" s="88"/>
      <c r="G31" s="88"/>
      <c r="H31" s="77"/>
      <c r="I31" s="95"/>
      <c r="J31" s="95"/>
      <c r="K31" s="95"/>
      <c r="L31" s="95"/>
      <c r="M31" s="93"/>
      <c r="N31" s="93"/>
      <c r="O31" s="93"/>
      <c r="P31" s="93"/>
      <c r="Q31" s="93"/>
      <c r="R31" s="93"/>
    </row>
    <row r="32" spans="1:92" x14ac:dyDescent="0.25">
      <c r="A32" s="87" t="s">
        <v>311</v>
      </c>
      <c r="B32" s="184">
        <f>'Project Glance'!B10</f>
        <v>4.7954999999999997</v>
      </c>
      <c r="C32" s="88">
        <f>B32-'P&amp;L'!B27</f>
        <v>4.31595</v>
      </c>
      <c r="D32" s="88">
        <f>C32-'P&amp;L'!C27</f>
        <v>3.8363999999999998</v>
      </c>
      <c r="E32" s="88">
        <f>D32-'P&amp;L'!D27</f>
        <v>3.3568499999999997</v>
      </c>
      <c r="F32" s="88">
        <f>E32-'P&amp;L'!E27</f>
        <v>2.8772999999999995</v>
      </c>
      <c r="G32" s="88">
        <f>F32-'P&amp;L'!F27</f>
        <v>2.3977499999999994</v>
      </c>
      <c r="H32" s="88">
        <f>G32-'P&amp;L'!G27</f>
        <v>1.9181999999999995</v>
      </c>
      <c r="I32" s="88">
        <f>H32-'P&amp;L'!H27</f>
        <v>1.4386499999999995</v>
      </c>
      <c r="J32" s="88">
        <f>I32-'P&amp;L'!I27</f>
        <v>0.95909999999999962</v>
      </c>
      <c r="K32" s="88">
        <f>J32-'P&amp;L'!J27</f>
        <v>0.47954999999999964</v>
      </c>
      <c r="L32" s="88">
        <f>K32-'P&amp;L'!K27</f>
        <v>0</v>
      </c>
    </row>
    <row r="33" spans="1:12" x14ac:dyDescent="0.25">
      <c r="A33" s="87" t="s">
        <v>21</v>
      </c>
      <c r="B33" s="184">
        <f>'Project Glance'!B12</f>
        <v>0</v>
      </c>
      <c r="C33" s="88">
        <f>'Project Glance'!B12</f>
        <v>0</v>
      </c>
      <c r="D33" s="88">
        <f>C33</f>
        <v>0</v>
      </c>
      <c r="E33" s="88">
        <f t="shared" ref="E33:I33" si="18">D33</f>
        <v>0</v>
      </c>
      <c r="F33" s="88">
        <f t="shared" si="18"/>
        <v>0</v>
      </c>
      <c r="G33" s="88">
        <f t="shared" si="18"/>
        <v>0</v>
      </c>
      <c r="H33" s="88">
        <f t="shared" si="18"/>
        <v>0</v>
      </c>
      <c r="I33" s="88">
        <f t="shared" si="18"/>
        <v>0</v>
      </c>
      <c r="J33" s="88">
        <f t="shared" ref="J33" si="19">I33</f>
        <v>0</v>
      </c>
      <c r="K33" s="88">
        <f t="shared" ref="K33" si="20">J33</f>
        <v>0</v>
      </c>
      <c r="L33" s="88">
        <f t="shared" ref="L33" si="21">K33</f>
        <v>0</v>
      </c>
    </row>
    <row r="34" spans="1:12" x14ac:dyDescent="0.25">
      <c r="A34" s="87"/>
      <c r="B34" s="87"/>
      <c r="C34" s="88"/>
      <c r="D34" s="88"/>
      <c r="E34" s="88"/>
      <c r="F34" s="88"/>
      <c r="G34" s="88"/>
      <c r="H34" s="77"/>
      <c r="I34" s="77"/>
      <c r="J34" s="77"/>
      <c r="K34" s="77"/>
      <c r="L34" s="77"/>
    </row>
    <row r="35" spans="1:12" x14ac:dyDescent="0.25">
      <c r="A35" s="34" t="s">
        <v>312</v>
      </c>
      <c r="B35" s="34"/>
      <c r="C35" s="88"/>
      <c r="D35" s="88"/>
      <c r="E35" s="88"/>
      <c r="F35" s="88"/>
      <c r="G35" s="88"/>
      <c r="H35" s="77"/>
      <c r="I35" s="77"/>
      <c r="J35" s="77"/>
      <c r="K35" s="77"/>
      <c r="L35" s="77"/>
    </row>
    <row r="36" spans="1:12" x14ac:dyDescent="0.25">
      <c r="A36" s="77" t="s">
        <v>313</v>
      </c>
      <c r="B36" s="88">
        <v>0</v>
      </c>
      <c r="C36" s="88">
        <f>'P&amp;L'!B9/12</f>
        <v>20.539583333333336</v>
      </c>
      <c r="D36" s="88">
        <f>'P&amp;L'!C9/12</f>
        <v>24.680468750000003</v>
      </c>
      <c r="E36" s="88">
        <f>'P&amp;L'!D9/12</f>
        <v>28.168458333333337</v>
      </c>
      <c r="F36" s="88">
        <f>'P&amp;L'!E9/12</f>
        <v>32.238997916666669</v>
      </c>
      <c r="G36" s="88">
        <f>'P&amp;L'!F9/12</f>
        <v>36.326529166666667</v>
      </c>
      <c r="H36" s="88">
        <f>'P&amp;L'!G9/12</f>
        <v>40.836189583333336</v>
      </c>
      <c r="I36" s="88">
        <f>'P&amp;L'!H9/12</f>
        <v>45.765133333333345</v>
      </c>
      <c r="J36" s="88">
        <f>'P&amp;L'!I9/12</f>
        <v>50.983935416666675</v>
      </c>
      <c r="K36" s="88">
        <f>'P&amp;L'!J9/12</f>
        <v>56.740562500000003</v>
      </c>
      <c r="L36" s="88">
        <f>'P&amp;L'!K9/12</f>
        <v>62.900043750000002</v>
      </c>
    </row>
    <row r="37" spans="1:12" x14ac:dyDescent="0.25">
      <c r="A37" s="77"/>
      <c r="B37" s="88"/>
      <c r="C37" s="92"/>
      <c r="D37" s="92"/>
      <c r="E37" s="92"/>
      <c r="F37" s="92"/>
      <c r="G37" s="92"/>
      <c r="H37" s="77"/>
      <c r="I37" s="77"/>
      <c r="J37" s="77"/>
      <c r="K37" s="77"/>
      <c r="L37" s="77"/>
    </row>
    <row r="38" spans="1:12" x14ac:dyDescent="0.25">
      <c r="A38" s="77"/>
      <c r="B38" s="88"/>
      <c r="C38" s="88"/>
      <c r="D38" s="88"/>
      <c r="E38" s="88"/>
      <c r="F38" s="88"/>
      <c r="G38" s="88"/>
      <c r="H38" s="88"/>
      <c r="I38" s="88"/>
      <c r="J38" s="77"/>
      <c r="K38" s="77"/>
      <c r="L38" s="77"/>
    </row>
    <row r="39" spans="1:12" x14ac:dyDescent="0.25">
      <c r="A39" s="78" t="s">
        <v>81</v>
      </c>
      <c r="B39" s="183"/>
      <c r="C39" s="88"/>
      <c r="D39" s="88"/>
      <c r="E39" s="88"/>
      <c r="F39" s="88"/>
      <c r="G39" s="88"/>
      <c r="H39" s="77"/>
      <c r="I39" s="77"/>
      <c r="J39" s="77"/>
      <c r="K39" s="77"/>
      <c r="L39" s="77"/>
    </row>
    <row r="40" spans="1:12" x14ac:dyDescent="0.25">
      <c r="A40" s="77" t="s">
        <v>314</v>
      </c>
      <c r="B40" s="88">
        <v>0</v>
      </c>
      <c r="C40" s="88">
        <f>'CS-FG'!C123</f>
        <v>10.650000000000002</v>
      </c>
      <c r="D40" s="88">
        <f>'CS-FG'!D123</f>
        <v>12.285</v>
      </c>
      <c r="E40" s="88">
        <f>'CS-FG'!E123</f>
        <v>14.7182</v>
      </c>
      <c r="F40" s="88">
        <f>'CS-FG'!F123</f>
        <v>15.454499999999999</v>
      </c>
      <c r="G40" s="88">
        <f>'CS-FG'!G123</f>
        <v>18.232900000000004</v>
      </c>
      <c r="H40" s="88">
        <f>'CS-FG'!H123</f>
        <v>20.485100000000003</v>
      </c>
      <c r="I40" s="88">
        <f>'CS-FG'!I123</f>
        <v>22.782599999999999</v>
      </c>
      <c r="J40" s="88">
        <f>'CS-FG'!J123</f>
        <v>25.118400000000001</v>
      </c>
      <c r="K40" s="88">
        <f>'CS-FG'!K123</f>
        <v>28.812500000000004</v>
      </c>
      <c r="L40" s="88">
        <f>'CS-FG'!L123</f>
        <v>31.882400000000004</v>
      </c>
    </row>
    <row r="41" spans="1:12" x14ac:dyDescent="0.25">
      <c r="A41" s="77" t="s">
        <v>315</v>
      </c>
      <c r="B41" s="88">
        <v>0</v>
      </c>
      <c r="C41" s="88">
        <f>'CS-RM'!B31</f>
        <v>8.745000000000001</v>
      </c>
      <c r="D41" s="88">
        <f>'CS-RM'!C31</f>
        <v>10.382200000000001</v>
      </c>
      <c r="E41" s="88">
        <f>'CS-RM'!D31</f>
        <v>12.1599</v>
      </c>
      <c r="F41" s="88">
        <f>'CS-RM'!E31</f>
        <v>13.498799999999999</v>
      </c>
      <c r="G41" s="88">
        <f>'CS-RM'!F31</f>
        <v>15.5618</v>
      </c>
      <c r="H41" s="88">
        <f>'CS-RM'!G31</f>
        <v>17.1463</v>
      </c>
      <c r="I41" s="88">
        <f>'CS-RM'!H31</f>
        <v>19.534500000000001</v>
      </c>
      <c r="J41" s="88">
        <f>'CS-RM'!I31</f>
        <v>22.118099999999998</v>
      </c>
      <c r="K41" s="88">
        <f>'CS-RM'!J31</f>
        <v>24.1569</v>
      </c>
      <c r="L41" s="88">
        <f>'CS-RM'!K31</f>
        <v>27.136800000000001</v>
      </c>
    </row>
    <row r="42" spans="1:1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5">
      <c r="A43" s="77"/>
      <c r="B43" s="77"/>
      <c r="C43" s="88">
        <f>SUM(C40:C41)</f>
        <v>19.395000000000003</v>
      </c>
      <c r="D43" s="88">
        <f>SUM(D40:D41)</f>
        <v>22.667200000000001</v>
      </c>
      <c r="E43" s="88">
        <f>SUM(E40:E41)</f>
        <v>26.8781</v>
      </c>
      <c r="F43" s="88">
        <f>SUM(F40:F41)</f>
        <v>28.953299999999999</v>
      </c>
      <c r="G43" s="88">
        <f>SUM(G40:G41)</f>
        <v>33.794700000000006</v>
      </c>
      <c r="H43" s="88">
        <f t="shared" ref="H43:L43" si="22">SUM(H40:H41)</f>
        <v>37.631399999999999</v>
      </c>
      <c r="I43" s="88">
        <f t="shared" si="22"/>
        <v>42.317099999999996</v>
      </c>
      <c r="J43" s="88">
        <f t="shared" si="22"/>
        <v>47.236499999999999</v>
      </c>
      <c r="K43" s="88">
        <f t="shared" si="22"/>
        <v>52.969400000000007</v>
      </c>
      <c r="L43" s="88">
        <f t="shared" si="22"/>
        <v>59.019200000000005</v>
      </c>
    </row>
    <row r="44" spans="1:12" hidden="1" x14ac:dyDescent="0.25">
      <c r="A44" s="77"/>
      <c r="B44" s="77"/>
      <c r="C44" s="88"/>
      <c r="D44" s="88"/>
      <c r="E44" s="88"/>
      <c r="F44" s="88"/>
      <c r="G44" s="88"/>
      <c r="H44" s="88"/>
      <c r="I44" s="88"/>
      <c r="J44" s="77"/>
      <c r="K44" s="77"/>
      <c r="L44" s="77"/>
    </row>
    <row r="45" spans="1:12" hidden="1" x14ac:dyDescent="0.25">
      <c r="A45" s="77" t="s">
        <v>456</v>
      </c>
      <c r="B45" s="77"/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77"/>
      <c r="K45" s="77"/>
      <c r="L45" s="77"/>
    </row>
    <row r="46" spans="1:12" x14ac:dyDescent="0.25">
      <c r="A46" s="77"/>
      <c r="B46" s="77"/>
      <c r="C46" s="88"/>
      <c r="D46" s="88"/>
      <c r="E46" s="88"/>
      <c r="F46" s="88"/>
      <c r="G46" s="88"/>
      <c r="H46" s="88"/>
      <c r="I46" s="88"/>
      <c r="J46" s="77"/>
      <c r="K46" s="77"/>
      <c r="L46" s="77"/>
    </row>
    <row r="47" spans="1:12" x14ac:dyDescent="0.25">
      <c r="A47" s="77" t="s">
        <v>316</v>
      </c>
      <c r="B47" s="88">
        <f>CF!C35</f>
        <v>4.6956114583333317</v>
      </c>
      <c r="C47" s="88">
        <f>CF!D35</f>
        <v>10.776534906250021</v>
      </c>
      <c r="D47" s="88">
        <f>CF!E35</f>
        <v>24.058331322447913</v>
      </c>
      <c r="E47" s="88">
        <f>CF!F35</f>
        <v>38.808114409471358</v>
      </c>
      <c r="F47" s="88">
        <f>CF!G35</f>
        <v>56.556519895950174</v>
      </c>
      <c r="G47" s="88">
        <f>CF!H35</f>
        <v>77.159426728956049</v>
      </c>
      <c r="H47" s="88">
        <f>CF!I35</f>
        <v>100.12234046751851</v>
      </c>
      <c r="I47" s="88">
        <f>CF!J35</f>
        <v>126.86676960398611</v>
      </c>
      <c r="J47" s="88">
        <f>CF!K35</f>
        <v>157.02952517035081</v>
      </c>
      <c r="K47" s="88">
        <f>CF!L35</f>
        <v>193.5141501166984</v>
      </c>
      <c r="L47" s="88">
        <f>CF!M35</f>
        <v>234.60107927313371</v>
      </c>
    </row>
    <row r="48" spans="1:12" x14ac:dyDescent="0.25">
      <c r="A48" s="77" t="s">
        <v>317</v>
      </c>
      <c r="B48" s="77"/>
      <c r="C48" s="88"/>
      <c r="D48" s="88"/>
      <c r="E48" s="88"/>
      <c r="F48" s="88"/>
      <c r="G48" s="88"/>
      <c r="H48" s="77"/>
      <c r="I48" s="77"/>
      <c r="J48" s="77"/>
      <c r="K48" s="77"/>
      <c r="L48" s="77"/>
    </row>
    <row r="49" spans="1:12" x14ac:dyDescent="0.25">
      <c r="A49" s="77"/>
      <c r="B49" s="77"/>
      <c r="C49" s="88"/>
      <c r="D49" s="88"/>
      <c r="E49" s="88"/>
      <c r="F49" s="88"/>
      <c r="G49" s="88"/>
      <c r="H49" s="77"/>
      <c r="I49" s="77"/>
      <c r="J49" s="77"/>
      <c r="K49" s="77"/>
      <c r="L49" s="77"/>
    </row>
    <row r="50" spans="1:12" x14ac:dyDescent="0.25">
      <c r="A50" s="34" t="s">
        <v>318</v>
      </c>
      <c r="B50" s="89">
        <f>SUM(B30:B47)</f>
        <v>105.40111145833333</v>
      </c>
      <c r="C50" s="89">
        <f>SUM(C30:C41)+C47</f>
        <v>146.23487723958337</v>
      </c>
      <c r="D50" s="89">
        <f t="shared" ref="D50:L50" si="23">SUM(D30:D41)+D47</f>
        <v>161.74801807244791</v>
      </c>
      <c r="E50" s="89">
        <f t="shared" si="23"/>
        <v>179.01494974280467</v>
      </c>
      <c r="F50" s="89">
        <f t="shared" si="23"/>
        <v>197.72735381261683</v>
      </c>
      <c r="G50" s="89">
        <f t="shared" si="23"/>
        <v>222.07745089562272</v>
      </c>
      <c r="H50" s="89">
        <f t="shared" si="23"/>
        <v>248.20498405085183</v>
      </c>
      <c r="I50" s="89">
        <f t="shared" si="23"/>
        <v>279.3823159373195</v>
      </c>
      <c r="J50" s="89">
        <f t="shared" si="23"/>
        <v>314.50153258701749</v>
      </c>
      <c r="K50" s="89">
        <f t="shared" si="23"/>
        <v>357.29394361669841</v>
      </c>
      <c r="L50" s="89">
        <f t="shared" si="23"/>
        <v>405.40841302313368</v>
      </c>
    </row>
    <row r="51" spans="1:12" x14ac:dyDescent="0.25">
      <c r="A51" s="86"/>
      <c r="B51" s="86"/>
      <c r="C51" s="96"/>
      <c r="D51" s="96"/>
      <c r="E51" s="96"/>
      <c r="F51" s="96"/>
      <c r="G51" s="96"/>
    </row>
    <row r="52" spans="1:12" x14ac:dyDescent="0.25">
      <c r="A52" s="97"/>
      <c r="B52" s="98">
        <f t="shared" ref="B52:G52" si="24">B50-B24</f>
        <v>0</v>
      </c>
      <c r="C52" s="98">
        <f t="shared" si="24"/>
        <v>0</v>
      </c>
      <c r="D52" s="98">
        <f t="shared" si="24"/>
        <v>0</v>
      </c>
      <c r="E52" s="98">
        <f t="shared" si="24"/>
        <v>0</v>
      </c>
      <c r="F52" s="98">
        <f t="shared" si="24"/>
        <v>0</v>
      </c>
      <c r="G52" s="98">
        <f t="shared" si="24"/>
        <v>0</v>
      </c>
      <c r="H52" s="98">
        <f t="shared" ref="H52:L52" si="25">H50-H24</f>
        <v>0</v>
      </c>
      <c r="I52" s="98">
        <f t="shared" si="25"/>
        <v>0</v>
      </c>
      <c r="J52" s="98">
        <f t="shared" si="25"/>
        <v>0</v>
      </c>
      <c r="K52" s="98">
        <f t="shared" si="25"/>
        <v>0</v>
      </c>
      <c r="L52" s="98">
        <f t="shared" si="25"/>
        <v>0</v>
      </c>
    </row>
    <row r="53" spans="1:12" x14ac:dyDescent="0.25">
      <c r="C53" s="99"/>
      <c r="D53" s="99"/>
      <c r="E53" s="99"/>
      <c r="F53" s="99"/>
      <c r="G53" s="99"/>
    </row>
    <row r="54" spans="1:12" x14ac:dyDescent="0.25">
      <c r="C54" s="99"/>
      <c r="D54" s="99"/>
      <c r="E54" s="99"/>
      <c r="F54" s="99"/>
      <c r="G54" s="99"/>
    </row>
    <row r="56" spans="1:12" x14ac:dyDescent="0.25">
      <c r="C56" s="99"/>
      <c r="D56" s="99"/>
      <c r="E56" s="99"/>
      <c r="F56" s="99"/>
      <c r="G56" s="99"/>
    </row>
    <row r="57" spans="1:12" x14ac:dyDescent="0.25">
      <c r="C57" s="99"/>
      <c r="D57" s="99"/>
      <c r="E57" s="99"/>
      <c r="F57" s="99"/>
      <c r="G57" s="99"/>
    </row>
    <row r="58" spans="1:12" x14ac:dyDescent="0.25">
      <c r="C58" s="99"/>
      <c r="D58" s="99"/>
      <c r="E58" s="99"/>
      <c r="F58" s="99"/>
      <c r="G58" s="99"/>
    </row>
    <row r="59" spans="1:12" x14ac:dyDescent="0.25">
      <c r="C59" s="99"/>
      <c r="D59" s="99"/>
      <c r="E59" s="99"/>
      <c r="F59" s="99"/>
      <c r="G59" s="99"/>
    </row>
    <row r="60" spans="1:12" x14ac:dyDescent="0.25">
      <c r="A60" s="99"/>
      <c r="B60" s="99"/>
      <c r="D60" s="99"/>
      <c r="F60" s="99"/>
      <c r="G60" s="99"/>
    </row>
    <row r="61" spans="1:12" x14ac:dyDescent="0.25">
      <c r="A61" s="99"/>
      <c r="B61" s="99"/>
      <c r="D61" s="99"/>
      <c r="F61" s="99"/>
      <c r="G61" s="99"/>
    </row>
    <row r="62" spans="1:12" x14ac:dyDescent="0.25">
      <c r="A62" s="99"/>
      <c r="B62" s="99"/>
      <c r="D62" s="99"/>
      <c r="F62" s="99"/>
      <c r="G62" s="99"/>
    </row>
    <row r="63" spans="1:12" x14ac:dyDescent="0.25">
      <c r="A63" s="99"/>
      <c r="B63" s="99"/>
      <c r="D63" s="99"/>
      <c r="F63" s="99"/>
      <c r="G63" s="99"/>
    </row>
    <row r="64" spans="1:12" x14ac:dyDescent="0.25">
      <c r="D64" s="99"/>
      <c r="F64" s="99"/>
    </row>
    <row r="65" spans="3:7" x14ac:dyDescent="0.25">
      <c r="D65" s="99"/>
      <c r="F65" s="99"/>
    </row>
    <row r="66" spans="3:7" x14ac:dyDescent="0.25">
      <c r="D66" s="99"/>
      <c r="F66" s="99"/>
      <c r="G66" s="99"/>
    </row>
    <row r="67" spans="3:7" x14ac:dyDescent="0.25">
      <c r="D67" s="99"/>
      <c r="F67" s="99"/>
      <c r="G67" s="99"/>
    </row>
    <row r="68" spans="3:7" x14ac:dyDescent="0.25">
      <c r="D68" s="99"/>
      <c r="F68" s="99"/>
      <c r="G68" s="99"/>
    </row>
    <row r="69" spans="3:7" x14ac:dyDescent="0.25">
      <c r="D69" s="99"/>
      <c r="F69" s="99"/>
      <c r="G69" s="99"/>
    </row>
    <row r="70" spans="3:7" x14ac:dyDescent="0.25">
      <c r="D70" s="99"/>
      <c r="F70" s="99"/>
      <c r="G70" s="99"/>
    </row>
    <row r="71" spans="3:7" x14ac:dyDescent="0.25">
      <c r="D71" s="99"/>
      <c r="F71" s="99"/>
      <c r="G71" s="99"/>
    </row>
    <row r="72" spans="3:7" x14ac:dyDescent="0.25">
      <c r="D72" s="99"/>
      <c r="F72" s="99"/>
      <c r="G72" s="99"/>
    </row>
    <row r="73" spans="3:7" x14ac:dyDescent="0.25">
      <c r="D73" s="99"/>
      <c r="F73" s="99"/>
      <c r="G73" s="99"/>
    </row>
    <row r="74" spans="3:7" x14ac:dyDescent="0.25">
      <c r="C74" s="99"/>
      <c r="D74" s="99"/>
      <c r="E74" s="99"/>
      <c r="F74" s="99"/>
      <c r="G74" s="99"/>
    </row>
    <row r="75" spans="3:7" x14ac:dyDescent="0.25">
      <c r="C75" s="99"/>
      <c r="D75" s="99"/>
      <c r="E75" s="99"/>
      <c r="F75" s="99"/>
      <c r="G75" s="99"/>
    </row>
    <row r="76" spans="3:7" x14ac:dyDescent="0.25">
      <c r="C76" s="99"/>
      <c r="D76" s="99"/>
      <c r="E76" s="99"/>
      <c r="F76" s="99"/>
      <c r="G76" s="99"/>
    </row>
    <row r="77" spans="3:7" x14ac:dyDescent="0.25">
      <c r="C77" s="99"/>
      <c r="D77" s="99"/>
      <c r="E77" s="99"/>
      <c r="F77" s="99"/>
      <c r="G77" s="99"/>
    </row>
    <row r="78" spans="3:7" x14ac:dyDescent="0.25">
      <c r="C78" s="99"/>
      <c r="D78" s="99"/>
      <c r="E78" s="99"/>
      <c r="F78" s="99"/>
      <c r="G78" s="99"/>
    </row>
    <row r="79" spans="3:7" x14ac:dyDescent="0.25">
      <c r="C79" s="99"/>
      <c r="D79" s="99"/>
      <c r="E79" s="99"/>
      <c r="F79" s="99"/>
      <c r="G79" s="99"/>
    </row>
    <row r="80" spans="3:7" x14ac:dyDescent="0.25">
      <c r="C80" s="99"/>
      <c r="D80" s="99"/>
      <c r="E80" s="99"/>
      <c r="F80" s="99"/>
      <c r="G80" s="99"/>
    </row>
    <row r="81" spans="3:7" x14ac:dyDescent="0.25">
      <c r="C81" s="99"/>
      <c r="D81" s="99"/>
      <c r="E81" s="99"/>
      <c r="F81" s="99"/>
      <c r="G81" s="99"/>
    </row>
    <row r="82" spans="3:7" x14ac:dyDescent="0.25">
      <c r="C82" s="99"/>
      <c r="D82" s="99"/>
      <c r="E82" s="99"/>
      <c r="F82" s="99"/>
      <c r="G82" s="99"/>
    </row>
    <row r="83" spans="3:7" x14ac:dyDescent="0.25">
      <c r="C83" s="99"/>
      <c r="D83" s="99"/>
      <c r="E83" s="99"/>
      <c r="F83" s="99"/>
      <c r="G83" s="99"/>
    </row>
    <row r="84" spans="3:7" x14ac:dyDescent="0.25">
      <c r="C84" s="99"/>
      <c r="D84" s="99"/>
      <c r="E84" s="99"/>
      <c r="F84" s="99"/>
      <c r="G84" s="99"/>
    </row>
    <row r="85" spans="3:7" x14ac:dyDescent="0.25">
      <c r="C85" s="99"/>
      <c r="D85" s="99"/>
      <c r="E85" s="99"/>
      <c r="F85" s="99"/>
      <c r="G85" s="99"/>
    </row>
    <row r="86" spans="3:7" x14ac:dyDescent="0.25">
      <c r="C86" s="99"/>
      <c r="D86" s="99"/>
      <c r="E86" s="99"/>
      <c r="F86" s="99"/>
      <c r="G86" s="99"/>
    </row>
    <row r="87" spans="3:7" x14ac:dyDescent="0.25">
      <c r="C87" s="99"/>
      <c r="D87" s="99"/>
      <c r="E87" s="99"/>
      <c r="F87" s="99"/>
      <c r="G87" s="99"/>
    </row>
    <row r="88" spans="3:7" x14ac:dyDescent="0.25">
      <c r="C88" s="99"/>
      <c r="D88" s="99"/>
      <c r="E88" s="99"/>
      <c r="F88" s="99"/>
      <c r="G88" s="99"/>
    </row>
    <row r="89" spans="3:7" x14ac:dyDescent="0.25">
      <c r="C89" s="99"/>
      <c r="D89" s="99"/>
      <c r="E89" s="99"/>
      <c r="F89" s="99"/>
      <c r="G89" s="99"/>
    </row>
    <row r="90" spans="3:7" x14ac:dyDescent="0.25">
      <c r="C90" s="99"/>
      <c r="D90" s="99"/>
      <c r="E90" s="99"/>
      <c r="F90" s="99"/>
      <c r="G90" s="99"/>
    </row>
    <row r="91" spans="3:7" x14ac:dyDescent="0.25">
      <c r="C91" s="99"/>
      <c r="D91" s="99"/>
      <c r="E91" s="99"/>
      <c r="F91" s="99"/>
      <c r="G91" s="99"/>
    </row>
    <row r="92" spans="3:7" x14ac:dyDescent="0.25">
      <c r="C92" s="99"/>
      <c r="D92" s="99"/>
      <c r="E92" s="99"/>
      <c r="F92" s="99"/>
      <c r="G92" s="99"/>
    </row>
    <row r="93" spans="3:7" x14ac:dyDescent="0.25">
      <c r="C93" s="99"/>
      <c r="D93" s="99"/>
      <c r="E93" s="99"/>
      <c r="F93" s="99"/>
      <c r="G93" s="99"/>
    </row>
    <row r="94" spans="3:7" x14ac:dyDescent="0.25">
      <c r="C94" s="99"/>
      <c r="D94" s="99"/>
      <c r="E94" s="99"/>
      <c r="F94" s="99"/>
      <c r="G94" s="99"/>
    </row>
    <row r="95" spans="3:7" x14ac:dyDescent="0.25">
      <c r="C95" s="99"/>
      <c r="D95" s="99"/>
      <c r="E95" s="99"/>
      <c r="F95" s="99"/>
      <c r="G95" s="99"/>
    </row>
    <row r="96" spans="3:7" x14ac:dyDescent="0.25">
      <c r="C96" s="99"/>
      <c r="D96" s="99"/>
      <c r="E96" s="99"/>
      <c r="F96" s="99"/>
      <c r="G96" s="99"/>
    </row>
    <row r="97" spans="3:7" x14ac:dyDescent="0.25">
      <c r="C97" s="99"/>
      <c r="D97" s="99"/>
      <c r="E97" s="99"/>
      <c r="F97" s="99"/>
      <c r="G97" s="99"/>
    </row>
    <row r="98" spans="3:7" x14ac:dyDescent="0.25">
      <c r="C98" s="99"/>
      <c r="D98" s="99"/>
      <c r="E98" s="99"/>
      <c r="F98" s="99"/>
      <c r="G98" s="99"/>
    </row>
    <row r="99" spans="3:7" x14ac:dyDescent="0.25">
      <c r="C99" s="99"/>
      <c r="D99" s="99"/>
      <c r="E99" s="99"/>
      <c r="F99" s="99"/>
      <c r="G99" s="99"/>
    </row>
    <row r="100" spans="3:7" x14ac:dyDescent="0.25">
      <c r="C100" s="99"/>
      <c r="D100" s="99"/>
      <c r="E100" s="99"/>
      <c r="F100" s="99"/>
      <c r="G100" s="99"/>
    </row>
    <row r="101" spans="3:7" x14ac:dyDescent="0.25">
      <c r="C101" s="99"/>
      <c r="D101" s="99"/>
      <c r="E101" s="99"/>
      <c r="F101" s="99"/>
      <c r="G101" s="99"/>
    </row>
    <row r="102" spans="3:7" x14ac:dyDescent="0.25">
      <c r="C102" s="99"/>
      <c r="D102" s="99"/>
      <c r="E102" s="99"/>
      <c r="F102" s="99"/>
      <c r="G102" s="99"/>
    </row>
    <row r="103" spans="3:7" x14ac:dyDescent="0.25">
      <c r="C103" s="99"/>
      <c r="D103" s="99"/>
      <c r="E103" s="99"/>
      <c r="F103" s="99"/>
      <c r="G103" s="99"/>
    </row>
    <row r="104" spans="3:7" x14ac:dyDescent="0.25">
      <c r="C104" s="99"/>
      <c r="D104" s="99"/>
      <c r="E104" s="99"/>
      <c r="F104" s="99"/>
      <c r="G104" s="99"/>
    </row>
    <row r="105" spans="3:7" x14ac:dyDescent="0.25">
      <c r="C105" s="99"/>
      <c r="D105" s="99"/>
      <c r="E105" s="99"/>
      <c r="F105" s="99"/>
      <c r="G105" s="99"/>
    </row>
    <row r="106" spans="3:7" x14ac:dyDescent="0.25">
      <c r="C106" s="99"/>
      <c r="D106" s="99"/>
      <c r="E106" s="99"/>
      <c r="F106" s="99"/>
      <c r="G106" s="99"/>
    </row>
    <row r="107" spans="3:7" x14ac:dyDescent="0.25">
      <c r="C107" s="99"/>
      <c r="D107" s="99"/>
      <c r="E107" s="99"/>
      <c r="F107" s="99"/>
      <c r="G107" s="99"/>
    </row>
    <row r="108" spans="3:7" x14ac:dyDescent="0.25">
      <c r="C108" s="99"/>
      <c r="D108" s="99"/>
      <c r="E108" s="99"/>
      <c r="F108" s="99"/>
      <c r="G108" s="99"/>
    </row>
    <row r="109" spans="3:7" x14ac:dyDescent="0.25">
      <c r="C109" s="99"/>
      <c r="D109" s="99"/>
      <c r="E109" s="99"/>
      <c r="F109" s="99"/>
      <c r="G109" s="99"/>
    </row>
    <row r="110" spans="3:7" x14ac:dyDescent="0.25">
      <c r="C110" s="99"/>
      <c r="D110" s="99"/>
      <c r="E110" s="99"/>
      <c r="F110" s="99"/>
      <c r="G110" s="99"/>
    </row>
    <row r="111" spans="3:7" x14ac:dyDescent="0.25">
      <c r="C111" s="99"/>
      <c r="D111" s="99"/>
      <c r="E111" s="99"/>
      <c r="F111" s="99"/>
      <c r="G111" s="99"/>
    </row>
    <row r="112" spans="3:7" x14ac:dyDescent="0.25">
      <c r="C112" s="99"/>
      <c r="D112" s="99"/>
      <c r="E112" s="99"/>
      <c r="F112" s="99"/>
      <c r="G112" s="99"/>
    </row>
    <row r="113" spans="3:7" x14ac:dyDescent="0.25">
      <c r="C113" s="99"/>
      <c r="D113" s="99"/>
      <c r="E113" s="99"/>
      <c r="F113" s="99"/>
      <c r="G113" s="99"/>
    </row>
    <row r="114" spans="3:7" x14ac:dyDescent="0.25">
      <c r="C114" s="99"/>
      <c r="D114" s="99"/>
      <c r="E114" s="99"/>
      <c r="F114" s="99"/>
      <c r="G114" s="99"/>
    </row>
    <row r="115" spans="3:7" x14ac:dyDescent="0.25">
      <c r="C115" s="99"/>
      <c r="D115" s="99"/>
      <c r="E115" s="99"/>
      <c r="F115" s="99"/>
      <c r="G115" s="99"/>
    </row>
    <row r="116" spans="3:7" x14ac:dyDescent="0.25">
      <c r="C116" s="99"/>
      <c r="D116" s="99"/>
      <c r="E116" s="99"/>
      <c r="F116" s="99"/>
      <c r="G116" s="99"/>
    </row>
    <row r="117" spans="3:7" x14ac:dyDescent="0.25">
      <c r="C117" s="99"/>
      <c r="D117" s="99"/>
      <c r="E117" s="99"/>
      <c r="F117" s="99"/>
      <c r="G117" s="99"/>
    </row>
    <row r="118" spans="3:7" x14ac:dyDescent="0.25">
      <c r="C118" s="99"/>
      <c r="D118" s="99"/>
      <c r="E118" s="99"/>
      <c r="F118" s="99"/>
      <c r="G118" s="99"/>
    </row>
    <row r="119" spans="3:7" x14ac:dyDescent="0.25">
      <c r="C119" s="99"/>
      <c r="D119" s="99"/>
      <c r="E119" s="99"/>
      <c r="F119" s="99"/>
      <c r="G119" s="99"/>
    </row>
    <row r="120" spans="3:7" x14ac:dyDescent="0.25">
      <c r="C120" s="99"/>
      <c r="D120" s="99"/>
      <c r="E120" s="99"/>
      <c r="F120" s="99"/>
      <c r="G120" s="99"/>
    </row>
    <row r="121" spans="3:7" x14ac:dyDescent="0.25">
      <c r="C121" s="99"/>
      <c r="D121" s="99"/>
      <c r="E121" s="99"/>
      <c r="F121" s="99"/>
      <c r="G121" s="99"/>
    </row>
    <row r="122" spans="3:7" x14ac:dyDescent="0.25">
      <c r="C122" s="99"/>
      <c r="D122" s="99"/>
      <c r="E122" s="99"/>
      <c r="F122" s="99"/>
      <c r="G122" s="99"/>
    </row>
    <row r="123" spans="3:7" x14ac:dyDescent="0.25">
      <c r="C123" s="99"/>
      <c r="D123" s="99"/>
      <c r="E123" s="99"/>
      <c r="F123" s="99"/>
      <c r="G123" s="99"/>
    </row>
    <row r="124" spans="3:7" x14ac:dyDescent="0.25">
      <c r="C124" s="99"/>
      <c r="D124" s="99"/>
      <c r="E124" s="99"/>
      <c r="F124" s="99"/>
      <c r="G124" s="99"/>
    </row>
    <row r="125" spans="3:7" x14ac:dyDescent="0.25">
      <c r="C125" s="99"/>
      <c r="D125" s="99"/>
      <c r="E125" s="99"/>
      <c r="F125" s="99"/>
      <c r="G125" s="99"/>
    </row>
    <row r="126" spans="3:7" x14ac:dyDescent="0.25">
      <c r="C126" s="99"/>
      <c r="D126" s="99"/>
      <c r="E126" s="99"/>
      <c r="F126" s="99"/>
      <c r="G126" s="99"/>
    </row>
    <row r="127" spans="3:7" x14ac:dyDescent="0.25">
      <c r="C127" s="99"/>
      <c r="D127" s="99"/>
      <c r="E127" s="99"/>
      <c r="F127" s="99"/>
      <c r="G127" s="99"/>
    </row>
    <row r="128" spans="3:7" x14ac:dyDescent="0.25">
      <c r="C128" s="99"/>
      <c r="D128" s="99"/>
      <c r="E128" s="99"/>
      <c r="F128" s="99"/>
      <c r="G128" s="99"/>
    </row>
    <row r="129" spans="3:7" x14ac:dyDescent="0.25">
      <c r="C129" s="99"/>
      <c r="D129" s="99"/>
      <c r="E129" s="99"/>
      <c r="F129" s="99"/>
      <c r="G129" s="99"/>
    </row>
    <row r="130" spans="3:7" x14ac:dyDescent="0.25">
      <c r="C130" s="99"/>
      <c r="D130" s="99"/>
      <c r="E130" s="99"/>
      <c r="F130" s="99"/>
      <c r="G130" s="99"/>
    </row>
    <row r="131" spans="3:7" x14ac:dyDescent="0.25">
      <c r="C131" s="99"/>
      <c r="D131" s="99"/>
      <c r="E131" s="99"/>
      <c r="F131" s="99"/>
      <c r="G131" s="99"/>
    </row>
    <row r="132" spans="3:7" x14ac:dyDescent="0.25">
      <c r="C132" s="99"/>
      <c r="D132" s="99"/>
      <c r="E132" s="99"/>
      <c r="F132" s="99"/>
      <c r="G132" s="99"/>
    </row>
    <row r="133" spans="3:7" x14ac:dyDescent="0.25">
      <c r="C133" s="99"/>
      <c r="D133" s="99"/>
      <c r="E133" s="99"/>
      <c r="F133" s="99"/>
      <c r="G133" s="99"/>
    </row>
    <row r="134" spans="3:7" x14ac:dyDescent="0.25">
      <c r="C134" s="99"/>
      <c r="D134" s="99"/>
      <c r="E134" s="99"/>
      <c r="F134" s="99"/>
      <c r="G134" s="99"/>
    </row>
    <row r="135" spans="3:7" x14ac:dyDescent="0.25">
      <c r="C135" s="99"/>
      <c r="D135" s="99"/>
      <c r="E135" s="99"/>
      <c r="F135" s="99"/>
      <c r="G135" s="99"/>
    </row>
    <row r="136" spans="3:7" x14ac:dyDescent="0.25">
      <c r="C136" s="99"/>
      <c r="D136" s="99"/>
      <c r="E136" s="99"/>
      <c r="F136" s="99"/>
      <c r="G136" s="99"/>
    </row>
    <row r="137" spans="3:7" x14ac:dyDescent="0.25">
      <c r="C137" s="99"/>
      <c r="D137" s="99"/>
      <c r="E137" s="99"/>
      <c r="F137" s="99"/>
      <c r="G137" s="99"/>
    </row>
    <row r="138" spans="3:7" x14ac:dyDescent="0.25">
      <c r="C138" s="99"/>
      <c r="D138" s="99"/>
      <c r="E138" s="99"/>
      <c r="F138" s="99"/>
      <c r="G138" s="99"/>
    </row>
    <row r="139" spans="3:7" x14ac:dyDescent="0.25">
      <c r="C139" s="99"/>
      <c r="D139" s="99"/>
      <c r="E139" s="99"/>
      <c r="F139" s="99"/>
      <c r="G139" s="99"/>
    </row>
    <row r="140" spans="3:7" x14ac:dyDescent="0.25">
      <c r="C140" s="99"/>
      <c r="D140" s="99"/>
      <c r="E140" s="99"/>
      <c r="F140" s="99"/>
      <c r="G140" s="99"/>
    </row>
    <row r="141" spans="3:7" x14ac:dyDescent="0.25">
      <c r="C141" s="99"/>
      <c r="D141" s="99"/>
      <c r="E141" s="99"/>
      <c r="F141" s="99"/>
      <c r="G141" s="99"/>
    </row>
    <row r="142" spans="3:7" x14ac:dyDescent="0.25">
      <c r="C142" s="99"/>
      <c r="D142" s="99"/>
      <c r="E142" s="99"/>
      <c r="F142" s="99"/>
      <c r="G142" s="99"/>
    </row>
    <row r="143" spans="3:7" x14ac:dyDescent="0.25">
      <c r="C143" s="99"/>
      <c r="D143" s="99"/>
      <c r="E143" s="99"/>
      <c r="F143" s="99"/>
      <c r="G143" s="99"/>
    </row>
    <row r="144" spans="3:7" x14ac:dyDescent="0.25">
      <c r="C144" s="99"/>
      <c r="D144" s="99"/>
      <c r="E144" s="99"/>
      <c r="F144" s="99"/>
      <c r="G144" s="99"/>
    </row>
    <row r="145" spans="3:7" x14ac:dyDescent="0.25">
      <c r="C145" s="99"/>
      <c r="D145" s="99"/>
      <c r="E145" s="99"/>
      <c r="F145" s="99"/>
      <c r="G145" s="99"/>
    </row>
    <row r="146" spans="3:7" x14ac:dyDescent="0.25">
      <c r="C146" s="99"/>
      <c r="D146" s="99"/>
      <c r="E146" s="99"/>
      <c r="F146" s="99"/>
      <c r="G146" s="99"/>
    </row>
    <row r="147" spans="3:7" x14ac:dyDescent="0.25">
      <c r="C147" s="99"/>
      <c r="D147" s="99"/>
      <c r="E147" s="99"/>
      <c r="F147" s="99"/>
      <c r="G147" s="99"/>
    </row>
    <row r="148" spans="3:7" x14ac:dyDescent="0.25">
      <c r="C148" s="99"/>
      <c r="D148" s="99"/>
      <c r="E148" s="99"/>
      <c r="F148" s="99"/>
      <c r="G148" s="99"/>
    </row>
    <row r="149" spans="3:7" x14ac:dyDescent="0.25">
      <c r="C149" s="99"/>
      <c r="D149" s="99"/>
      <c r="E149" s="99"/>
      <c r="F149" s="99"/>
      <c r="G149" s="99"/>
    </row>
    <row r="150" spans="3:7" x14ac:dyDescent="0.25">
      <c r="C150" s="99"/>
      <c r="D150" s="99"/>
      <c r="E150" s="99"/>
      <c r="F150" s="99"/>
      <c r="G150" s="99"/>
    </row>
    <row r="151" spans="3:7" x14ac:dyDescent="0.25">
      <c r="C151" s="99"/>
      <c r="D151" s="99"/>
      <c r="E151" s="99"/>
      <c r="F151" s="99"/>
      <c r="G151" s="99"/>
    </row>
    <row r="152" spans="3:7" x14ac:dyDescent="0.25">
      <c r="C152" s="99"/>
      <c r="D152" s="99"/>
      <c r="E152" s="99"/>
      <c r="F152" s="99"/>
      <c r="G152" s="99"/>
    </row>
    <row r="153" spans="3:7" x14ac:dyDescent="0.25">
      <c r="C153" s="99"/>
      <c r="D153" s="99"/>
      <c r="E153" s="99"/>
      <c r="F153" s="99"/>
      <c r="G153" s="99"/>
    </row>
    <row r="154" spans="3:7" x14ac:dyDescent="0.25">
      <c r="C154" s="99"/>
      <c r="D154" s="99"/>
      <c r="E154" s="99"/>
      <c r="F154" s="99"/>
      <c r="G154" s="99"/>
    </row>
    <row r="155" spans="3:7" x14ac:dyDescent="0.25">
      <c r="C155" s="99"/>
      <c r="D155" s="99"/>
      <c r="E155" s="99"/>
      <c r="F155" s="99"/>
      <c r="G155" s="99"/>
    </row>
    <row r="156" spans="3:7" x14ac:dyDescent="0.25">
      <c r="C156" s="99"/>
      <c r="D156" s="99"/>
      <c r="E156" s="99"/>
      <c r="F156" s="99"/>
      <c r="G156" s="99"/>
    </row>
    <row r="157" spans="3:7" x14ac:dyDescent="0.25">
      <c r="C157" s="99"/>
      <c r="D157" s="99"/>
      <c r="E157" s="99"/>
      <c r="F157" s="99"/>
      <c r="G157" s="99"/>
    </row>
    <row r="158" spans="3:7" x14ac:dyDescent="0.25">
      <c r="C158" s="99"/>
      <c r="D158" s="99"/>
      <c r="E158" s="99"/>
      <c r="F158" s="99"/>
      <c r="G158" s="99"/>
    </row>
    <row r="159" spans="3:7" x14ac:dyDescent="0.25">
      <c r="C159" s="99"/>
      <c r="D159" s="99"/>
      <c r="E159" s="99"/>
      <c r="F159" s="99"/>
      <c r="G159" s="99"/>
    </row>
    <row r="160" spans="3:7" x14ac:dyDescent="0.25">
      <c r="C160" s="99"/>
      <c r="D160" s="99"/>
      <c r="E160" s="99"/>
      <c r="F160" s="99"/>
      <c r="G160" s="99"/>
    </row>
    <row r="161" spans="3:7" x14ac:dyDescent="0.25">
      <c r="C161" s="99"/>
      <c r="D161" s="99"/>
      <c r="E161" s="99"/>
      <c r="F161" s="99"/>
      <c r="G161" s="99"/>
    </row>
    <row r="162" spans="3:7" x14ac:dyDescent="0.25">
      <c r="C162" s="99"/>
      <c r="D162" s="99"/>
      <c r="E162" s="99"/>
      <c r="F162" s="99"/>
      <c r="G162" s="99"/>
    </row>
    <row r="163" spans="3:7" x14ac:dyDescent="0.25">
      <c r="C163" s="99"/>
      <c r="D163" s="99"/>
      <c r="E163" s="99"/>
      <c r="F163" s="99"/>
      <c r="G163" s="99"/>
    </row>
    <row r="164" spans="3:7" x14ac:dyDescent="0.25">
      <c r="C164" s="99"/>
      <c r="D164" s="99"/>
      <c r="E164" s="99"/>
      <c r="F164" s="99"/>
      <c r="G164" s="99"/>
    </row>
    <row r="165" spans="3:7" x14ac:dyDescent="0.25">
      <c r="C165" s="99"/>
      <c r="D165" s="99"/>
      <c r="E165" s="99"/>
      <c r="F165" s="99"/>
      <c r="G165" s="99"/>
    </row>
    <row r="166" spans="3:7" x14ac:dyDescent="0.25">
      <c r="C166" s="99"/>
      <c r="D166" s="99"/>
      <c r="E166" s="99"/>
      <c r="F166" s="99"/>
      <c r="G166" s="99"/>
    </row>
    <row r="167" spans="3:7" x14ac:dyDescent="0.25">
      <c r="C167" s="99"/>
      <c r="D167" s="99"/>
      <c r="E167" s="99"/>
      <c r="F167" s="99"/>
      <c r="G167" s="99"/>
    </row>
    <row r="168" spans="3:7" x14ac:dyDescent="0.25">
      <c r="C168" s="99"/>
      <c r="D168" s="99"/>
      <c r="E168" s="99"/>
      <c r="F168" s="99"/>
      <c r="G168" s="99"/>
    </row>
    <row r="169" spans="3:7" x14ac:dyDescent="0.25">
      <c r="C169" s="99"/>
      <c r="D169" s="99"/>
      <c r="E169" s="99"/>
      <c r="F169" s="99"/>
      <c r="G169" s="99"/>
    </row>
    <row r="170" spans="3:7" x14ac:dyDescent="0.25">
      <c r="C170" s="99"/>
      <c r="D170" s="99"/>
      <c r="E170" s="99"/>
      <c r="F170" s="99"/>
      <c r="G170" s="99"/>
    </row>
    <row r="171" spans="3:7" x14ac:dyDescent="0.25">
      <c r="C171" s="99"/>
      <c r="D171" s="99"/>
      <c r="E171" s="99"/>
      <c r="F171" s="99"/>
      <c r="G171" s="99"/>
    </row>
    <row r="172" spans="3:7" x14ac:dyDescent="0.25">
      <c r="C172" s="99"/>
      <c r="D172" s="99"/>
      <c r="E172" s="99"/>
      <c r="F172" s="99"/>
      <c r="G172" s="99"/>
    </row>
    <row r="173" spans="3:7" x14ac:dyDescent="0.25">
      <c r="C173" s="99"/>
      <c r="D173" s="99"/>
      <c r="E173" s="99"/>
      <c r="F173" s="99"/>
      <c r="G173" s="99"/>
    </row>
    <row r="174" spans="3:7" x14ac:dyDescent="0.25">
      <c r="C174" s="99"/>
      <c r="D174" s="99"/>
      <c r="E174" s="99"/>
      <c r="F174" s="99"/>
      <c r="G174" s="99"/>
    </row>
    <row r="175" spans="3:7" x14ac:dyDescent="0.25">
      <c r="C175" s="99"/>
      <c r="D175" s="99"/>
      <c r="E175" s="99"/>
      <c r="F175" s="99"/>
      <c r="G175" s="99"/>
    </row>
    <row r="176" spans="3:7" x14ac:dyDescent="0.25">
      <c r="C176" s="99"/>
      <c r="D176" s="99"/>
      <c r="E176" s="99"/>
      <c r="F176" s="99"/>
      <c r="G176" s="99"/>
    </row>
    <row r="177" spans="3:7" x14ac:dyDescent="0.25">
      <c r="C177" s="99"/>
      <c r="D177" s="99"/>
      <c r="E177" s="99"/>
      <c r="F177" s="99"/>
      <c r="G177" s="99"/>
    </row>
    <row r="178" spans="3:7" x14ac:dyDescent="0.25">
      <c r="C178" s="99"/>
      <c r="D178" s="99"/>
      <c r="E178" s="99"/>
      <c r="F178" s="99"/>
      <c r="G178" s="99"/>
    </row>
    <row r="179" spans="3:7" x14ac:dyDescent="0.25">
      <c r="C179" s="99"/>
      <c r="D179" s="99"/>
      <c r="E179" s="99"/>
      <c r="F179" s="99"/>
      <c r="G179" s="99"/>
    </row>
    <row r="180" spans="3:7" x14ac:dyDescent="0.25">
      <c r="C180" s="99"/>
      <c r="D180" s="99"/>
      <c r="E180" s="99"/>
      <c r="F180" s="99"/>
      <c r="G180" s="99"/>
    </row>
    <row r="181" spans="3:7" x14ac:dyDescent="0.25">
      <c r="C181" s="99"/>
      <c r="D181" s="99"/>
      <c r="E181" s="99"/>
      <c r="F181" s="99"/>
      <c r="G181" s="99"/>
    </row>
    <row r="182" spans="3:7" x14ac:dyDescent="0.25">
      <c r="C182" s="99"/>
      <c r="D182" s="99"/>
      <c r="E182" s="99"/>
      <c r="F182" s="99"/>
      <c r="G182" s="99"/>
    </row>
    <row r="183" spans="3:7" x14ac:dyDescent="0.25">
      <c r="C183" s="99"/>
      <c r="D183" s="99"/>
      <c r="E183" s="99"/>
      <c r="F183" s="99"/>
      <c r="G183" s="99"/>
    </row>
    <row r="184" spans="3:7" x14ac:dyDescent="0.25">
      <c r="C184" s="99"/>
      <c r="D184" s="99"/>
      <c r="E184" s="99"/>
      <c r="F184" s="99"/>
      <c r="G184" s="99"/>
    </row>
    <row r="185" spans="3:7" x14ac:dyDescent="0.25">
      <c r="C185" s="99"/>
      <c r="D185" s="99"/>
      <c r="E185" s="99"/>
      <c r="F185" s="99"/>
      <c r="G185" s="99"/>
    </row>
    <row r="186" spans="3:7" x14ac:dyDescent="0.25">
      <c r="C186" s="99"/>
      <c r="D186" s="99"/>
      <c r="E186" s="99"/>
      <c r="F186" s="99"/>
      <c r="G186" s="99"/>
    </row>
    <row r="187" spans="3:7" x14ac:dyDescent="0.25">
      <c r="C187" s="99"/>
      <c r="D187" s="99"/>
      <c r="E187" s="99"/>
      <c r="F187" s="99"/>
      <c r="G187" s="99"/>
    </row>
    <row r="188" spans="3:7" x14ac:dyDescent="0.25">
      <c r="C188" s="99"/>
      <c r="D188" s="99"/>
      <c r="E188" s="99"/>
      <c r="F188" s="99"/>
      <c r="G188" s="99"/>
    </row>
    <row r="189" spans="3:7" x14ac:dyDescent="0.25">
      <c r="C189" s="99"/>
      <c r="D189" s="99"/>
      <c r="E189" s="99"/>
      <c r="F189" s="99"/>
      <c r="G189" s="99"/>
    </row>
  </sheetData>
  <mergeCells count="2">
    <mergeCell ref="A1:G1"/>
    <mergeCell ref="A2:I2"/>
  </mergeCells>
  <pageMargins left="0.7" right="0.7" top="0.75" bottom="0.75" header="0.3" footer="0.3"/>
  <pageSetup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31" zoomScale="60" zoomScaleNormal="100" workbookViewId="0">
      <selection activeCell="A3" sqref="A3:M35"/>
    </sheetView>
  </sheetViews>
  <sheetFormatPr defaultColWidth="9.140625" defaultRowHeight="15" x14ac:dyDescent="0.25"/>
  <cols>
    <col min="1" max="1" width="5" style="104" customWidth="1"/>
    <col min="2" max="2" width="23" style="104" customWidth="1"/>
    <col min="3" max="3" width="10.85546875" style="104" bestFit="1" customWidth="1"/>
    <col min="4" max="13" width="11.28515625" style="104" bestFit="1" customWidth="1"/>
    <col min="14" max="16384" width="9.140625" style="104"/>
  </cols>
  <sheetData>
    <row r="1" spans="1:13" x14ac:dyDescent="0.25">
      <c r="A1" s="365" t="s">
        <v>319</v>
      </c>
      <c r="B1" s="366"/>
      <c r="C1" s="366"/>
      <c r="D1" s="366"/>
      <c r="E1" s="366"/>
      <c r="F1" s="366"/>
      <c r="G1" s="366"/>
      <c r="H1" s="366"/>
      <c r="I1" s="366"/>
      <c r="J1" s="366"/>
    </row>
    <row r="3" spans="1:13" x14ac:dyDescent="0.25">
      <c r="A3" s="117" t="s">
        <v>631</v>
      </c>
      <c r="B3" s="117" t="s">
        <v>1</v>
      </c>
      <c r="C3" s="117" t="s">
        <v>445</v>
      </c>
      <c r="D3" s="117" t="s">
        <v>36</v>
      </c>
      <c r="E3" s="117" t="s">
        <v>37</v>
      </c>
      <c r="F3" s="117" t="s">
        <v>38</v>
      </c>
      <c r="G3" s="117" t="s">
        <v>39</v>
      </c>
      <c r="H3" s="117" t="s">
        <v>40</v>
      </c>
      <c r="I3" s="117" t="s">
        <v>41</v>
      </c>
      <c r="J3" s="117" t="s">
        <v>42</v>
      </c>
      <c r="K3" s="117" t="s">
        <v>495</v>
      </c>
      <c r="L3" s="117" t="s">
        <v>496</v>
      </c>
      <c r="M3" s="117" t="s">
        <v>497</v>
      </c>
    </row>
    <row r="4" spans="1:13" x14ac:dyDescent="0.25">
      <c r="A4" s="105">
        <v>1</v>
      </c>
      <c r="B4" s="105" t="s">
        <v>320</v>
      </c>
      <c r="C4" s="105"/>
      <c r="D4" s="106"/>
      <c r="E4" s="106"/>
      <c r="F4" s="106"/>
      <c r="G4" s="106"/>
      <c r="H4" s="106"/>
      <c r="I4" s="36"/>
      <c r="J4" s="36"/>
      <c r="K4" s="36"/>
      <c r="L4" s="36"/>
      <c r="M4" s="36"/>
    </row>
    <row r="5" spans="1:13" x14ac:dyDescent="0.25">
      <c r="A5" s="105"/>
      <c r="B5" s="105" t="s">
        <v>321</v>
      </c>
      <c r="C5" s="112">
        <v>0</v>
      </c>
      <c r="D5" s="107">
        <f>'P&amp;L'!B9</f>
        <v>246.47500000000002</v>
      </c>
      <c r="E5" s="107">
        <f>'P&amp;L'!C9</f>
        <v>296.16562500000003</v>
      </c>
      <c r="F5" s="107">
        <f>'P&amp;L'!D9</f>
        <v>338.02150000000006</v>
      </c>
      <c r="G5" s="107">
        <f>'P&amp;L'!E9</f>
        <v>386.86797500000006</v>
      </c>
      <c r="H5" s="107">
        <f>'P&amp;L'!F9</f>
        <v>435.91835000000003</v>
      </c>
      <c r="I5" s="107">
        <f>'P&amp;L'!G9</f>
        <v>490.03427500000004</v>
      </c>
      <c r="J5" s="107">
        <f>'P&amp;L'!H9</f>
        <v>549.18160000000012</v>
      </c>
      <c r="K5" s="107">
        <f>'P&amp;L'!I9</f>
        <v>611.80722500000013</v>
      </c>
      <c r="L5" s="107">
        <f>'P&amp;L'!J9</f>
        <v>680.88675000000001</v>
      </c>
      <c r="M5" s="107">
        <f>'P&amp;L'!K9</f>
        <v>754.80052499999999</v>
      </c>
    </row>
    <row r="6" spans="1:13" x14ac:dyDescent="0.25">
      <c r="A6" s="105">
        <v>2</v>
      </c>
      <c r="B6" s="105" t="s">
        <v>322</v>
      </c>
      <c r="C6" s="180">
        <f>BS!B20</f>
        <v>0</v>
      </c>
      <c r="D6" s="108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 x14ac:dyDescent="0.25">
      <c r="A7" s="105">
        <v>3</v>
      </c>
      <c r="B7" s="105" t="s">
        <v>296</v>
      </c>
      <c r="C7" s="180">
        <f>BS!B7</f>
        <v>44.977811458333335</v>
      </c>
      <c r="D7" s="108"/>
      <c r="E7" s="108">
        <v>0</v>
      </c>
      <c r="F7" s="108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 x14ac:dyDescent="0.25">
      <c r="A8" s="105">
        <v>4</v>
      </c>
      <c r="B8" s="105" t="s">
        <v>323</v>
      </c>
      <c r="C8" s="105"/>
      <c r="D8" s="108">
        <f>BS!C21</f>
        <v>14.086834375000002</v>
      </c>
      <c r="E8" s="108">
        <f>BS!D21-BS!C21</f>
        <v>3.7321407812500027</v>
      </c>
      <c r="F8" s="108">
        <f>BS!E21-BS!D21</f>
        <v>3.3394244296874938</v>
      </c>
      <c r="G8" s="108">
        <f>BS!F21-BS!E21</f>
        <v>1.9598802917968783</v>
      </c>
      <c r="H8" s="108">
        <f>BS!G21-BS!F21</f>
        <v>3.8177198220117177</v>
      </c>
      <c r="I8" s="108">
        <f>BS!H21-BS!G21</f>
        <v>3.1738829537373086</v>
      </c>
      <c r="J8" s="108">
        <f>BS!I21-BS!H21</f>
        <v>3.8619649607991633</v>
      </c>
      <c r="K8" s="108">
        <f>BS!J21-BS!I21</f>
        <v>4.0257926932141359</v>
      </c>
      <c r="L8" s="108">
        <f>BS!K21-BS!J21</f>
        <v>4.8819358122498429</v>
      </c>
      <c r="M8" s="108">
        <f>BS!L21-BS!K21</f>
        <v>4.9727705247373208</v>
      </c>
    </row>
    <row r="9" spans="1:13" x14ac:dyDescent="0.25">
      <c r="A9" s="105">
        <v>5</v>
      </c>
      <c r="B9" s="105" t="s">
        <v>324</v>
      </c>
      <c r="C9" s="180">
        <f>BS!B13</f>
        <v>60.423299999999998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</row>
    <row r="10" spans="1:13" ht="30" x14ac:dyDescent="0.25">
      <c r="A10" s="105">
        <v>6</v>
      </c>
      <c r="B10" s="105" t="s">
        <v>325</v>
      </c>
      <c r="C10" s="105"/>
      <c r="D10" s="108">
        <f>BS!C22</f>
        <v>21.152137499999998</v>
      </c>
      <c r="E10" s="108">
        <f>BS!D22-BS!C22</f>
        <v>2.4368977083333334</v>
      </c>
      <c r="F10" s="108">
        <f>BS!E22-BS!D22</f>
        <v>3.246323677083339</v>
      </c>
      <c r="G10" s="108">
        <f>BS!F22-BS!E22</f>
        <v>3.5325658609374955</v>
      </c>
      <c r="H10" s="108">
        <f>BS!G22-BS!F22</f>
        <v>3.8386381539843732</v>
      </c>
      <c r="I10" s="108">
        <f>BS!H22-BS!G22</f>
        <v>4.1145164783502608</v>
      </c>
      <c r="J10" s="108">
        <f>BS!I22-BS!H22</f>
        <v>4.4653571356011099</v>
      </c>
      <c r="K10" s="108">
        <f>BS!J22-BS!I22</f>
        <v>4.7704784923811587</v>
      </c>
      <c r="L10" s="108">
        <f>BS!K22-BS!J22</f>
        <v>4.9802793336668856</v>
      </c>
      <c r="M10" s="108">
        <f>BS!L22-BS!K22</f>
        <v>5.578920550350233</v>
      </c>
    </row>
    <row r="11" spans="1:13" x14ac:dyDescent="0.25">
      <c r="A11" s="105"/>
      <c r="B11" s="105"/>
      <c r="C11" s="105"/>
      <c r="D11" s="106"/>
      <c r="E11" s="106"/>
      <c r="F11" s="106"/>
      <c r="G11" s="106"/>
      <c r="H11" s="106"/>
      <c r="I11" s="36"/>
      <c r="J11" s="36"/>
      <c r="K11" s="36"/>
      <c r="L11" s="36"/>
      <c r="M11" s="36"/>
    </row>
    <row r="12" spans="1:13" x14ac:dyDescent="0.25">
      <c r="A12" s="105"/>
      <c r="B12" s="105" t="s">
        <v>326</v>
      </c>
      <c r="C12" s="109">
        <f>SUM(C5:C11)</f>
        <v>105.40111145833333</v>
      </c>
      <c r="D12" s="109">
        <f>SUM(D5:D11)</f>
        <v>281.71397187500003</v>
      </c>
      <c r="E12" s="109">
        <f t="shared" ref="E12:M12" si="0">SUM(E5:E11)</f>
        <v>302.33466348958336</v>
      </c>
      <c r="F12" s="109">
        <f t="shared" si="0"/>
        <v>344.6072481067709</v>
      </c>
      <c r="G12" s="109">
        <f t="shared" si="0"/>
        <v>392.36042115273443</v>
      </c>
      <c r="H12" s="109">
        <f t="shared" si="0"/>
        <v>443.57470797599615</v>
      </c>
      <c r="I12" s="109">
        <f t="shared" si="0"/>
        <v>497.32267443208758</v>
      </c>
      <c r="J12" s="109">
        <f t="shared" si="0"/>
        <v>557.5089220964004</v>
      </c>
      <c r="K12" s="109">
        <f t="shared" si="0"/>
        <v>620.60349618559542</v>
      </c>
      <c r="L12" s="109">
        <f t="shared" si="0"/>
        <v>690.74896514591671</v>
      </c>
      <c r="M12" s="109">
        <f t="shared" si="0"/>
        <v>765.35221607508765</v>
      </c>
    </row>
    <row r="13" spans="1:13" ht="15" customHeight="1" x14ac:dyDescent="0.25">
      <c r="A13" s="327" t="s">
        <v>327</v>
      </c>
      <c r="B13" s="105"/>
      <c r="C13" s="326"/>
      <c r="D13" s="110"/>
      <c r="E13" s="110"/>
      <c r="F13" s="110"/>
      <c r="G13" s="110"/>
      <c r="H13" s="110"/>
      <c r="I13" s="36"/>
      <c r="J13" s="36"/>
      <c r="K13" s="36"/>
      <c r="L13" s="36"/>
      <c r="M13" s="36"/>
    </row>
    <row r="14" spans="1:13" x14ac:dyDescent="0.25">
      <c r="A14" s="105">
        <v>1</v>
      </c>
      <c r="B14" s="105" t="s">
        <v>328</v>
      </c>
      <c r="C14" s="105"/>
      <c r="D14" s="110"/>
      <c r="E14" s="110"/>
      <c r="F14" s="110"/>
      <c r="G14" s="110"/>
      <c r="H14" s="110"/>
      <c r="I14" s="36"/>
      <c r="J14" s="36"/>
      <c r="K14" s="36"/>
      <c r="L14" s="36"/>
      <c r="M14" s="36"/>
    </row>
    <row r="15" spans="1:13" x14ac:dyDescent="0.25">
      <c r="A15" s="111" t="s">
        <v>329</v>
      </c>
      <c r="B15" s="110" t="s">
        <v>430</v>
      </c>
      <c r="C15" s="181">
        <f>'Project Glance'!B6+'Project Glance'!B7+'Project Glance'!B8+'Project Glance'!B9</f>
        <v>95.91</v>
      </c>
      <c r="D15" s="108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</row>
    <row r="16" spans="1:13" x14ac:dyDescent="0.25">
      <c r="A16" s="111" t="s">
        <v>330</v>
      </c>
      <c r="B16" s="110" t="s">
        <v>332</v>
      </c>
      <c r="C16" s="181">
        <f>'Project Glance'!B10</f>
        <v>4.7954999999999997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</row>
    <row r="17" spans="1:13" x14ac:dyDescent="0.25">
      <c r="A17" s="111" t="s">
        <v>331</v>
      </c>
      <c r="B17" s="110" t="s">
        <v>21</v>
      </c>
      <c r="C17" s="181">
        <f>'Project Glance'!B12</f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</row>
    <row r="18" spans="1:13" x14ac:dyDescent="0.25">
      <c r="A18" s="111" t="s">
        <v>431</v>
      </c>
      <c r="B18" s="110" t="s">
        <v>432</v>
      </c>
      <c r="C18" s="181">
        <f>'Project Glance'!B11</f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</row>
    <row r="19" spans="1:13" x14ac:dyDescent="0.25">
      <c r="A19" s="111"/>
      <c r="B19" s="110"/>
      <c r="C19" s="110"/>
      <c r="D19" s="108"/>
      <c r="E19" s="108"/>
      <c r="F19" s="108"/>
      <c r="G19" s="108"/>
      <c r="H19" s="108"/>
      <c r="I19" s="108"/>
      <c r="J19" s="108"/>
      <c r="K19" s="36"/>
      <c r="L19" s="36"/>
      <c r="M19" s="36"/>
    </row>
    <row r="20" spans="1:13" ht="30" x14ac:dyDescent="0.25">
      <c r="A20" s="105">
        <v>2</v>
      </c>
      <c r="B20" s="105" t="s">
        <v>333</v>
      </c>
      <c r="C20" s="105"/>
      <c r="D20" s="110"/>
      <c r="E20" s="110"/>
      <c r="F20" s="110"/>
      <c r="G20" s="110"/>
      <c r="H20" s="110"/>
      <c r="I20" s="36"/>
      <c r="J20" s="36"/>
      <c r="K20" s="36"/>
      <c r="L20" s="36"/>
      <c r="M20" s="36"/>
    </row>
    <row r="21" spans="1:13" ht="30" x14ac:dyDescent="0.25">
      <c r="A21" s="111" t="s">
        <v>329</v>
      </c>
      <c r="B21" s="110" t="s">
        <v>334</v>
      </c>
      <c r="C21" s="110"/>
      <c r="D21" s="108">
        <f>'P&amp;L'!B23</f>
        <v>13.976649999999999</v>
      </c>
      <c r="E21" s="108">
        <f>'P&amp;L'!C23</f>
        <v>14.670482500000002</v>
      </c>
      <c r="F21" s="108">
        <f>'P&amp;L'!D23</f>
        <v>15.399006625</v>
      </c>
      <c r="G21" s="108">
        <f>'P&amp;L'!E23</f>
        <v>16.163956956250004</v>
      </c>
      <c r="H21" s="108">
        <f>'P&amp;L'!F23</f>
        <v>16.967154804062503</v>
      </c>
      <c r="I21" s="108">
        <f>'P&amp;L'!G23</f>
        <v>17.810512544265631</v>
      </c>
      <c r="J21" s="108">
        <f>'P&amp;L'!H23</f>
        <v>18.696038171478911</v>
      </c>
      <c r="K21" s="108">
        <f>'P&amp;L'!I23</f>
        <v>19.625840080052857</v>
      </c>
      <c r="L21" s="108">
        <f>'P&amp;L'!J23</f>
        <v>20.602132084055501</v>
      </c>
      <c r="M21" s="108">
        <f>'P&amp;L'!K23</f>
        <v>21.627238688258277</v>
      </c>
    </row>
    <row r="22" spans="1:13" x14ac:dyDescent="0.25">
      <c r="A22" s="111" t="s">
        <v>330</v>
      </c>
      <c r="B22" s="110" t="s">
        <v>335</v>
      </c>
      <c r="C22" s="110"/>
      <c r="D22" s="107">
        <f>'P&amp;L'!B25</f>
        <v>12.478999999999999</v>
      </c>
      <c r="E22" s="107">
        <f>'P&amp;L'!C25</f>
        <v>14.334940000000001</v>
      </c>
      <c r="F22" s="107">
        <f>'P&amp;L'!D25</f>
        <v>16.115199999999998</v>
      </c>
      <c r="G22" s="107">
        <f>'P&amp;L'!E25</f>
        <v>18.122140000000002</v>
      </c>
      <c r="H22" s="107">
        <f>'P&amp;L'!F25</f>
        <v>20.066400000000002</v>
      </c>
      <c r="I22" s="107">
        <f>'P&amp;L'!G25</f>
        <v>22.244340000000001</v>
      </c>
      <c r="J22" s="107">
        <f>'P&amp;L'!H25</f>
        <v>24.382600000000004</v>
      </c>
      <c r="K22" s="107">
        <f>'P&amp;L'!I25</f>
        <v>25.975540000000006</v>
      </c>
      <c r="L22" s="107">
        <f>'P&amp;L'!J25</f>
        <v>27.412800000000004</v>
      </c>
      <c r="M22" s="107">
        <f>'P&amp;L'!K25</f>
        <v>29.005740000000003</v>
      </c>
    </row>
    <row r="23" spans="1:13" ht="30" x14ac:dyDescent="0.25">
      <c r="A23" s="111" t="s">
        <v>331</v>
      </c>
      <c r="B23" s="110" t="s">
        <v>346</v>
      </c>
      <c r="C23" s="110"/>
      <c r="D23" s="107">
        <f>'P&amp;L'!B16</f>
        <v>227.37</v>
      </c>
      <c r="E23" s="107">
        <f>'P&amp;L'!C16</f>
        <v>254.06299999999999</v>
      </c>
      <c r="F23" s="107">
        <f>'P&amp;L'!D16</f>
        <v>290.51010000000002</v>
      </c>
      <c r="G23" s="107">
        <f>'P&amp;L'!E16</f>
        <v>330.12900000000002</v>
      </c>
      <c r="H23" s="107">
        <f>'P&amp;L'!F16</f>
        <v>373.4452</v>
      </c>
      <c r="I23" s="107">
        <f>'P&amp;L'!G16</f>
        <v>419.79809999999998</v>
      </c>
      <c r="J23" s="107">
        <f>'P&amp;L'!H16</f>
        <v>470.35860000000002</v>
      </c>
      <c r="K23" s="107">
        <f>'P&amp;L'!I16</f>
        <v>525.08159999999998</v>
      </c>
      <c r="L23" s="107">
        <f>'P&amp;L'!J16</f>
        <v>582.43140000000005</v>
      </c>
      <c r="M23" s="107">
        <f>'P&amp;L'!K16</f>
        <v>646.7604</v>
      </c>
    </row>
    <row r="24" spans="1:13" hidden="1" x14ac:dyDescent="0.25">
      <c r="A24" s="111" t="s">
        <v>431</v>
      </c>
      <c r="B24" s="110" t="s">
        <v>456</v>
      </c>
      <c r="C24" s="110"/>
      <c r="D24" s="107">
        <f>BS!C45-BS!B45</f>
        <v>0</v>
      </c>
      <c r="E24" s="107">
        <f>BS!D45-BS!C45</f>
        <v>0</v>
      </c>
      <c r="F24" s="107">
        <f>BS!E45-BS!D45</f>
        <v>0</v>
      </c>
      <c r="G24" s="107">
        <f>BS!F45-BS!E45</f>
        <v>0</v>
      </c>
      <c r="H24" s="107">
        <f>BS!G45-BS!F45</f>
        <v>0</v>
      </c>
      <c r="I24" s="107">
        <f>BS!H45-BS!G45</f>
        <v>0</v>
      </c>
      <c r="J24" s="107">
        <f>BS!I45-BS!H45</f>
        <v>0</v>
      </c>
      <c r="K24" s="107">
        <f>BS!J45-BS!I45</f>
        <v>0</v>
      </c>
      <c r="L24" s="107">
        <f>BS!K45-BS!J45</f>
        <v>0</v>
      </c>
      <c r="M24" s="107">
        <f>BS!L45-BS!K45</f>
        <v>0</v>
      </c>
    </row>
    <row r="25" spans="1:13" x14ac:dyDescent="0.25">
      <c r="A25" s="105">
        <v>3</v>
      </c>
      <c r="B25" s="105" t="s">
        <v>336</v>
      </c>
      <c r="C25" s="105"/>
      <c r="D25" s="182">
        <f>BS!B20-BS!C20</f>
        <v>0</v>
      </c>
      <c r="E25" s="182">
        <f>BS!C20-BS!D20</f>
        <v>0</v>
      </c>
      <c r="F25" s="182">
        <f>BS!D20-BS!E20</f>
        <v>0</v>
      </c>
      <c r="G25" s="182">
        <f>BS!E20-BS!F20</f>
        <v>0</v>
      </c>
      <c r="H25" s="182">
        <f>BS!F20-BS!G20</f>
        <v>0</v>
      </c>
      <c r="I25" s="182">
        <f>BS!G20-BS!H20</f>
        <v>0</v>
      </c>
      <c r="J25" s="182">
        <f>BS!H20-BS!I20</f>
        <v>0</v>
      </c>
      <c r="K25" s="182">
        <f>BS!I20-BS!J20</f>
        <v>0</v>
      </c>
      <c r="L25" s="182">
        <f>BS!J20-BS!K20</f>
        <v>0</v>
      </c>
      <c r="M25" s="182">
        <f>BS!K20-BS!L20</f>
        <v>0</v>
      </c>
    </row>
    <row r="26" spans="1:13" x14ac:dyDescent="0.25">
      <c r="A26" s="111" t="s">
        <v>329</v>
      </c>
      <c r="B26" s="110" t="s">
        <v>337</v>
      </c>
      <c r="C26" s="110"/>
      <c r="D26" s="108">
        <f>'P&amp;L'!B30</f>
        <v>0</v>
      </c>
      <c r="E26" s="108">
        <f>'P&amp;L'!C30</f>
        <v>0</v>
      </c>
      <c r="F26" s="108">
        <f>'P&amp;L'!D30</f>
        <v>0</v>
      </c>
      <c r="G26" s="108">
        <f>'P&amp;L'!E30</f>
        <v>0</v>
      </c>
      <c r="H26" s="108">
        <f>'P&amp;L'!F30</f>
        <v>0</v>
      </c>
      <c r="I26" s="108">
        <f>'P&amp;L'!G30</f>
        <v>0</v>
      </c>
      <c r="J26" s="108">
        <f>'P&amp;L'!H30</f>
        <v>0</v>
      </c>
      <c r="K26" s="108">
        <f>'P&amp;L'!I30</f>
        <v>0</v>
      </c>
      <c r="L26" s="108">
        <f>'P&amp;L'!J30</f>
        <v>0</v>
      </c>
      <c r="M26" s="108">
        <f>'P&amp;L'!K30</f>
        <v>0</v>
      </c>
    </row>
    <row r="27" spans="1:13" x14ac:dyDescent="0.25">
      <c r="A27" s="111" t="s">
        <v>330</v>
      </c>
      <c r="B27" s="110" t="s">
        <v>338</v>
      </c>
      <c r="C27" s="110"/>
      <c r="D27" s="108">
        <f>'P&amp;L'!B31</f>
        <v>1.2678150937500001</v>
      </c>
      <c r="E27" s="108">
        <f>'P&amp;L'!C31</f>
        <v>1.6037077640625004</v>
      </c>
      <c r="F27" s="108">
        <f>'P&amp;L'!D31</f>
        <v>1.9042559627343749</v>
      </c>
      <c r="G27" s="108">
        <f>'P&amp;L'!E31</f>
        <v>2.080645188996094</v>
      </c>
      <c r="H27" s="108">
        <f>'P&amp;L'!F31</f>
        <v>2.4242399729771482</v>
      </c>
      <c r="I27" s="108">
        <f>'P&amp;L'!G31</f>
        <v>2.709889438813506</v>
      </c>
      <c r="J27" s="108">
        <f>'P&amp;L'!H31</f>
        <v>3.0574662852854311</v>
      </c>
      <c r="K27" s="108">
        <f>'P&amp;L'!I31</f>
        <v>3.4197876276747032</v>
      </c>
      <c r="L27" s="108">
        <f>'P&amp;L'!J31</f>
        <v>3.859161850777189</v>
      </c>
      <c r="M27" s="108">
        <f>'P&amp;L'!K31</f>
        <v>4.3067111980035477</v>
      </c>
    </row>
    <row r="28" spans="1:13" ht="30" x14ac:dyDescent="0.25">
      <c r="A28" s="105">
        <v>4</v>
      </c>
      <c r="B28" s="105" t="s">
        <v>339</v>
      </c>
      <c r="C28" s="105"/>
      <c r="D28" s="108">
        <f>BS!C36</f>
        <v>20.539583333333336</v>
      </c>
      <c r="E28" s="108">
        <f>BS!D36-BS!C36</f>
        <v>4.1408854166666664</v>
      </c>
      <c r="F28" s="108">
        <f>BS!E36-BS!D36</f>
        <v>3.4879895833333343</v>
      </c>
      <c r="G28" s="108">
        <f>BS!F36-BS!E36</f>
        <v>4.070539583333332</v>
      </c>
      <c r="H28" s="108">
        <f>BS!G36-BS!F36</f>
        <v>4.0875312499999978</v>
      </c>
      <c r="I28" s="108">
        <f>BS!H36-BS!G36</f>
        <v>4.5096604166666694</v>
      </c>
      <c r="J28" s="108">
        <f>BS!I36-BS!H36</f>
        <v>4.9289437500000091</v>
      </c>
      <c r="K28" s="108">
        <f>BS!J36-BS!I36</f>
        <v>5.2188020833333297</v>
      </c>
      <c r="L28" s="108">
        <f>BS!K36-BS!J36</f>
        <v>5.7566270833333277</v>
      </c>
      <c r="M28" s="108">
        <f>BS!L36-BS!K36</f>
        <v>6.1594812499999989</v>
      </c>
    </row>
    <row r="29" spans="1:13" x14ac:dyDescent="0.25">
      <c r="A29" s="105"/>
      <c r="B29" s="105"/>
      <c r="C29" s="105"/>
      <c r="D29" s="108"/>
      <c r="E29" s="108"/>
      <c r="F29" s="108"/>
      <c r="G29" s="108"/>
      <c r="H29" s="108"/>
      <c r="I29" s="36"/>
      <c r="J29" s="36"/>
      <c r="K29" s="36"/>
      <c r="L29" s="36"/>
      <c r="M29" s="36"/>
    </row>
    <row r="30" spans="1:13" x14ac:dyDescent="0.25">
      <c r="A30" s="105">
        <v>5</v>
      </c>
      <c r="B30" s="105" t="s">
        <v>340</v>
      </c>
      <c r="C30" s="105"/>
      <c r="D30" s="108">
        <f>'P&amp;L'!B35</f>
        <v>0</v>
      </c>
      <c r="E30" s="108">
        <f>'P&amp;L'!C35</f>
        <v>0.23985139265628125</v>
      </c>
      <c r="F30" s="108">
        <f>'P&amp;L'!D35</f>
        <v>2.4409128486796945</v>
      </c>
      <c r="G30" s="108">
        <f>'P&amp;L'!E35</f>
        <v>4.0457339376761805</v>
      </c>
      <c r="H30" s="108">
        <f>'P&amp;L'!F35</f>
        <v>5.9812751159506217</v>
      </c>
      <c r="I30" s="108">
        <f>'P&amp;L'!G35</f>
        <v>7.2872582937793853</v>
      </c>
      <c r="J30" s="108">
        <f>'P&amp;L'!H35</f>
        <v>9.3408447531683816</v>
      </c>
      <c r="K30" s="108">
        <f>'P&amp;L'!I35</f>
        <v>11.11917082816978</v>
      </c>
      <c r="L30" s="108">
        <f>'P&amp;L'!J35</f>
        <v>14.202219181402974</v>
      </c>
      <c r="M30" s="108">
        <f>'P&amp;L'!K35</f>
        <v>16.405715782390534</v>
      </c>
    </row>
    <row r="31" spans="1:13" ht="30" x14ac:dyDescent="0.25">
      <c r="A31" s="105">
        <v>6</v>
      </c>
      <c r="B31" s="105" t="s">
        <v>341</v>
      </c>
      <c r="C31" s="105"/>
      <c r="D31" s="106"/>
      <c r="E31" s="106"/>
      <c r="F31" s="106"/>
      <c r="G31" s="106"/>
      <c r="H31" s="106"/>
      <c r="I31" s="36"/>
      <c r="J31" s="36"/>
      <c r="K31" s="36"/>
      <c r="L31" s="36"/>
      <c r="M31" s="36"/>
    </row>
    <row r="32" spans="1:13" x14ac:dyDescent="0.25">
      <c r="A32" s="105"/>
      <c r="B32" s="105" t="s">
        <v>342</v>
      </c>
      <c r="C32" s="112">
        <f>SUM(C15:C31)</f>
        <v>100.7055</v>
      </c>
      <c r="D32" s="112">
        <f>SUM(D15:D31)</f>
        <v>275.63304842708334</v>
      </c>
      <c r="E32" s="112">
        <f t="shared" ref="E32:J32" si="1">SUM(E15:E31)</f>
        <v>289.05286707338547</v>
      </c>
      <c r="F32" s="112">
        <f t="shared" si="1"/>
        <v>329.85746501974745</v>
      </c>
      <c r="G32" s="112">
        <f t="shared" si="1"/>
        <v>374.61201566625562</v>
      </c>
      <c r="H32" s="112">
        <f t="shared" si="1"/>
        <v>422.97180114299027</v>
      </c>
      <c r="I32" s="112">
        <f t="shared" si="1"/>
        <v>474.35976069352512</v>
      </c>
      <c r="J32" s="112">
        <f t="shared" si="1"/>
        <v>530.7644929599328</v>
      </c>
      <c r="K32" s="112">
        <f t="shared" ref="K32:M32" si="2">SUM(K15:K31)</f>
        <v>590.44074061923072</v>
      </c>
      <c r="L32" s="112">
        <f t="shared" si="2"/>
        <v>654.26434019956912</v>
      </c>
      <c r="M32" s="112">
        <f t="shared" si="2"/>
        <v>724.26528691865235</v>
      </c>
    </row>
    <row r="33" spans="1:13" x14ac:dyDescent="0.25">
      <c r="A33" s="105"/>
      <c r="B33" s="105" t="s">
        <v>343</v>
      </c>
      <c r="C33" s="112">
        <f t="shared" ref="C33:J33" si="3">C12-C32</f>
        <v>4.6956114583333317</v>
      </c>
      <c r="D33" s="112">
        <f t="shared" si="3"/>
        <v>6.0809234479166889</v>
      </c>
      <c r="E33" s="112">
        <f t="shared" si="3"/>
        <v>13.281796416197892</v>
      </c>
      <c r="F33" s="112">
        <f t="shared" si="3"/>
        <v>14.749783087023445</v>
      </c>
      <c r="G33" s="112">
        <f t="shared" si="3"/>
        <v>17.748405486478816</v>
      </c>
      <c r="H33" s="112">
        <f t="shared" si="3"/>
        <v>20.602906833005875</v>
      </c>
      <c r="I33" s="112">
        <f t="shared" si="3"/>
        <v>22.962913738562463</v>
      </c>
      <c r="J33" s="112">
        <f t="shared" si="3"/>
        <v>26.744429136467602</v>
      </c>
      <c r="K33" s="112">
        <f t="shared" ref="K33:M33" si="4">K12-K32</f>
        <v>30.162755566364694</v>
      </c>
      <c r="L33" s="112">
        <f t="shared" si="4"/>
        <v>36.484624946347594</v>
      </c>
      <c r="M33" s="112">
        <f t="shared" si="4"/>
        <v>41.086929156435303</v>
      </c>
    </row>
    <row r="34" spans="1:13" x14ac:dyDescent="0.25">
      <c r="A34" s="113"/>
      <c r="B34" s="110" t="s">
        <v>344</v>
      </c>
      <c r="C34" s="110"/>
      <c r="D34" s="108">
        <f>C35</f>
        <v>4.6956114583333317</v>
      </c>
      <c r="E34" s="108">
        <f>D35</f>
        <v>10.776534906250021</v>
      </c>
      <c r="F34" s="108">
        <f t="shared" ref="F34:J34" si="5">E35</f>
        <v>24.058331322447913</v>
      </c>
      <c r="G34" s="108">
        <f t="shared" si="5"/>
        <v>38.808114409471358</v>
      </c>
      <c r="H34" s="108">
        <f t="shared" si="5"/>
        <v>56.556519895950174</v>
      </c>
      <c r="I34" s="108">
        <f t="shared" si="5"/>
        <v>77.159426728956049</v>
      </c>
      <c r="J34" s="108">
        <f t="shared" si="5"/>
        <v>100.12234046751851</v>
      </c>
      <c r="K34" s="108">
        <f t="shared" ref="K34" si="6">J35</f>
        <v>126.86676960398611</v>
      </c>
      <c r="L34" s="108">
        <f t="shared" ref="L34" si="7">K35</f>
        <v>157.02952517035081</v>
      </c>
      <c r="M34" s="108">
        <f t="shared" ref="M34" si="8">L35</f>
        <v>193.5141501166984</v>
      </c>
    </row>
    <row r="35" spans="1:13" ht="30" x14ac:dyDescent="0.25">
      <c r="A35" s="105"/>
      <c r="B35" s="114" t="s">
        <v>345</v>
      </c>
      <c r="C35" s="112">
        <f>C33+C34</f>
        <v>4.6956114583333317</v>
      </c>
      <c r="D35" s="112">
        <f>D33+D34</f>
        <v>10.776534906250021</v>
      </c>
      <c r="E35" s="112">
        <f t="shared" ref="E35:J35" si="9">E33+E34</f>
        <v>24.058331322447913</v>
      </c>
      <c r="F35" s="112">
        <f t="shared" si="9"/>
        <v>38.808114409471358</v>
      </c>
      <c r="G35" s="112">
        <f t="shared" si="9"/>
        <v>56.556519895950174</v>
      </c>
      <c r="H35" s="112">
        <f t="shared" si="9"/>
        <v>77.159426728956049</v>
      </c>
      <c r="I35" s="112">
        <f t="shared" si="9"/>
        <v>100.12234046751851</v>
      </c>
      <c r="J35" s="112">
        <f t="shared" si="9"/>
        <v>126.86676960398611</v>
      </c>
      <c r="K35" s="112">
        <f t="shared" ref="K35:M35" si="10">K33+K34</f>
        <v>157.02952517035081</v>
      </c>
      <c r="L35" s="112">
        <f t="shared" si="10"/>
        <v>193.5141501166984</v>
      </c>
      <c r="M35" s="112">
        <f t="shared" si="10"/>
        <v>234.60107927313371</v>
      </c>
    </row>
    <row r="37" spans="1:13" x14ac:dyDescent="0.25">
      <c r="C37" s="115">
        <f>BS!B47</f>
        <v>4.6956114583333317</v>
      </c>
      <c r="D37" s="115">
        <f>BS!C47</f>
        <v>10.776534906250021</v>
      </c>
      <c r="E37" s="115">
        <f>BS!D47</f>
        <v>24.058331322447913</v>
      </c>
      <c r="F37" s="115">
        <f>BS!E47</f>
        <v>38.808114409471358</v>
      </c>
      <c r="G37" s="115">
        <f>BS!F47</f>
        <v>56.556519895950174</v>
      </c>
      <c r="H37" s="115">
        <f>BS!G47</f>
        <v>77.159426728956049</v>
      </c>
      <c r="I37" s="115">
        <f>BS!H47</f>
        <v>100.12234046751851</v>
      </c>
      <c r="J37" s="115">
        <f>BS!I47</f>
        <v>126.86676960398611</v>
      </c>
      <c r="K37" s="115">
        <f>BS!J47</f>
        <v>157.02952517035081</v>
      </c>
      <c r="L37" s="115">
        <f>BS!K47</f>
        <v>193.5141501166984</v>
      </c>
      <c r="M37" s="115">
        <f>BS!L47</f>
        <v>234.60107927313371</v>
      </c>
    </row>
    <row r="38" spans="1:13" x14ac:dyDescent="0.25">
      <c r="D38" s="115"/>
    </row>
    <row r="39" spans="1:13" x14ac:dyDescent="0.25">
      <c r="C39" s="115">
        <f>C35-C37</f>
        <v>0</v>
      </c>
      <c r="D39" s="115">
        <f>D35-D37</f>
        <v>0</v>
      </c>
      <c r="E39" s="115">
        <f t="shared" ref="E39:J39" si="11">E35-E37</f>
        <v>0</v>
      </c>
      <c r="F39" s="115">
        <f t="shared" si="11"/>
        <v>0</v>
      </c>
      <c r="G39" s="115">
        <f t="shared" si="11"/>
        <v>0</v>
      </c>
      <c r="H39" s="115">
        <f t="shared" si="11"/>
        <v>0</v>
      </c>
      <c r="I39" s="115">
        <f t="shared" si="11"/>
        <v>0</v>
      </c>
      <c r="J39" s="115">
        <f t="shared" si="11"/>
        <v>0</v>
      </c>
      <c r="K39" s="115">
        <f t="shared" ref="K39:M39" si="12">K35-K37</f>
        <v>0</v>
      </c>
      <c r="L39" s="115">
        <f t="shared" si="12"/>
        <v>0</v>
      </c>
      <c r="M39" s="115">
        <f t="shared" si="12"/>
        <v>0</v>
      </c>
    </row>
    <row r="40" spans="1:13" x14ac:dyDescent="0.25">
      <c r="D40" s="116"/>
      <c r="E40" s="115"/>
      <c r="F40" s="115"/>
      <c r="G40" s="115"/>
      <c r="H40" s="115"/>
      <c r="I40" s="115"/>
      <c r="J40" s="115"/>
    </row>
    <row r="41" spans="1:13" x14ac:dyDescent="0.25">
      <c r="D41" s="115"/>
      <c r="E41" s="115"/>
      <c r="F41" s="115"/>
      <c r="G41" s="115"/>
      <c r="H41" s="115"/>
    </row>
  </sheetData>
  <mergeCells count="1">
    <mergeCell ref="A1:J1"/>
  </mergeCells>
  <pageMargins left="0.7" right="0.7" top="0.75" bottom="0.75" header="0.3" footer="0.3"/>
  <pageSetup scale="5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26" sqref="F26"/>
    </sheetView>
  </sheetViews>
  <sheetFormatPr defaultRowHeight="15" x14ac:dyDescent="0.25"/>
  <cols>
    <col min="1" max="1" width="18.140625" customWidth="1"/>
  </cols>
  <sheetData>
    <row r="2" spans="1:9" x14ac:dyDescent="0.25">
      <c r="A2" s="16" t="s">
        <v>1</v>
      </c>
      <c r="B2" s="16" t="s">
        <v>445</v>
      </c>
      <c r="C2" s="16" t="s">
        <v>36</v>
      </c>
      <c r="D2" s="16" t="s">
        <v>37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 t="s">
        <v>50</v>
      </c>
      <c r="B4" s="6">
        <v>0</v>
      </c>
      <c r="C4" s="19">
        <f>B7</f>
        <v>0</v>
      </c>
      <c r="D4" s="19">
        <f t="shared" ref="D4:H4" si="0">C7</f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19">
        <f t="shared" si="0"/>
        <v>0</v>
      </c>
      <c r="I4" s="9">
        <v>0</v>
      </c>
    </row>
    <row r="5" spans="1:9" x14ac:dyDescent="0.25">
      <c r="A5" s="6" t="s">
        <v>446</v>
      </c>
      <c r="B5" s="19">
        <f>Interest!H19</f>
        <v>0</v>
      </c>
      <c r="C5" s="19">
        <f>Interest!H31</f>
        <v>0</v>
      </c>
      <c r="D5" s="19">
        <f>Interest!H43</f>
        <v>0</v>
      </c>
      <c r="E5" s="19">
        <f>Interest!H55</f>
        <v>0</v>
      </c>
      <c r="F5" s="19">
        <f>Interest!H67</f>
        <v>0</v>
      </c>
      <c r="G5" s="19">
        <f>Interest!H79</f>
        <v>0</v>
      </c>
      <c r="H5" s="19">
        <f>Interest!H91</f>
        <v>0</v>
      </c>
      <c r="I5" s="9">
        <v>0</v>
      </c>
    </row>
    <row r="6" spans="1:9" x14ac:dyDescent="0.25">
      <c r="A6" s="6" t="s">
        <v>447</v>
      </c>
      <c r="B6" s="19">
        <f>Interest!I19</f>
        <v>0</v>
      </c>
      <c r="C6" s="19">
        <f>Interest!I31</f>
        <v>0</v>
      </c>
      <c r="D6" s="19">
        <f>Interest!I43</f>
        <v>0</v>
      </c>
      <c r="E6" s="19">
        <f>Interest!I55</f>
        <v>0</v>
      </c>
      <c r="F6" s="19">
        <f>Interest!I67</f>
        <v>0</v>
      </c>
      <c r="G6" s="19">
        <f>Interest!I79</f>
        <v>0</v>
      </c>
      <c r="H6" s="19">
        <f>Interest!I91</f>
        <v>0</v>
      </c>
      <c r="I6" s="9">
        <v>0</v>
      </c>
    </row>
    <row r="7" spans="1:9" x14ac:dyDescent="0.25">
      <c r="A7" s="6" t="s">
        <v>448</v>
      </c>
      <c r="B7" s="19">
        <f>Interest!G19</f>
        <v>0</v>
      </c>
      <c r="C7" s="19">
        <f>C4-C6</f>
        <v>0</v>
      </c>
      <c r="D7" s="19">
        <f t="shared" ref="D7:I7" si="1">D4-D6</f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9">
        <v>0</v>
      </c>
      <c r="I7" s="9">
        <f t="shared" si="1"/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6" workbookViewId="0">
      <selection activeCell="D8" sqref="D8"/>
    </sheetView>
  </sheetViews>
  <sheetFormatPr defaultColWidth="9.140625" defaultRowHeight="15" x14ac:dyDescent="0.25"/>
  <cols>
    <col min="1" max="1" width="6.28515625" style="1" bestFit="1" customWidth="1"/>
    <col min="2" max="2" width="10.28515625" style="1" customWidth="1"/>
    <col min="3" max="3" width="16" style="1" bestFit="1" customWidth="1"/>
    <col min="4" max="4" width="8.42578125" style="1" bestFit="1" customWidth="1"/>
    <col min="5" max="5" width="20" style="1" bestFit="1" customWidth="1"/>
    <col min="6" max="6" width="5.5703125" style="1" bestFit="1" customWidth="1"/>
    <col min="7" max="7" width="19" style="1" bestFit="1" customWidth="1"/>
    <col min="8" max="9" width="6.5703125" style="1" bestFit="1" customWidth="1"/>
    <col min="10" max="16384" width="9.140625" style="1"/>
  </cols>
  <sheetData>
    <row r="1" spans="1:9" x14ac:dyDescent="0.25">
      <c r="B1" s="367"/>
      <c r="C1" s="367"/>
      <c r="D1" s="367"/>
      <c r="E1" s="367"/>
      <c r="F1" s="367"/>
      <c r="G1" s="367"/>
      <c r="H1" s="81"/>
      <c r="I1" s="81"/>
    </row>
    <row r="2" spans="1:9" ht="15.75" thickBot="1" x14ac:dyDescent="0.3"/>
    <row r="3" spans="1:9" ht="15.75" thickBot="1" x14ac:dyDescent="0.3">
      <c r="B3" s="368" t="s">
        <v>189</v>
      </c>
      <c r="C3" s="369"/>
      <c r="D3" s="369"/>
      <c r="E3" s="369"/>
      <c r="F3" s="369"/>
      <c r="G3" s="370"/>
    </row>
    <row r="4" spans="1:9" x14ac:dyDescent="0.25">
      <c r="B4" s="100"/>
      <c r="C4" s="100"/>
      <c r="D4" s="100"/>
      <c r="E4" s="100"/>
      <c r="F4" s="100"/>
      <c r="G4" s="100"/>
    </row>
    <row r="5" spans="1:9" x14ac:dyDescent="0.25">
      <c r="B5" s="100"/>
      <c r="C5" s="100" t="s">
        <v>190</v>
      </c>
      <c r="D5" s="101">
        <v>0.09</v>
      </c>
      <c r="E5" s="100"/>
      <c r="F5" s="100"/>
      <c r="G5" s="100"/>
    </row>
    <row r="6" spans="1:9" x14ac:dyDescent="0.25">
      <c r="B6" s="100"/>
      <c r="C6" s="100"/>
      <c r="D6" s="102"/>
      <c r="E6" s="100"/>
      <c r="F6" s="100"/>
      <c r="G6" s="100" t="s">
        <v>191</v>
      </c>
    </row>
    <row r="7" spans="1:9" x14ac:dyDescent="0.25">
      <c r="B7" s="15" t="s">
        <v>192</v>
      </c>
      <c r="C7" s="103" t="s">
        <v>45</v>
      </c>
      <c r="D7" s="103" t="s">
        <v>193</v>
      </c>
      <c r="E7" s="103" t="s">
        <v>194</v>
      </c>
      <c r="F7" s="103" t="s">
        <v>195</v>
      </c>
      <c r="G7" s="103" t="s">
        <v>196</v>
      </c>
    </row>
    <row r="8" spans="1:9" x14ac:dyDescent="0.25">
      <c r="A8" s="1" t="s">
        <v>197</v>
      </c>
      <c r="B8" s="6" t="s">
        <v>198</v>
      </c>
      <c r="C8" s="19">
        <f>'Project Glance'!B21/4</f>
        <v>0</v>
      </c>
      <c r="D8" s="19">
        <f t="shared" ref="D8:D71" si="0">C8*$D$5/12</f>
        <v>0</v>
      </c>
      <c r="E8" s="19"/>
      <c r="F8" s="19">
        <f>D8</f>
        <v>0</v>
      </c>
      <c r="G8" s="19">
        <f>C8-E8</f>
        <v>0</v>
      </c>
    </row>
    <row r="9" spans="1:9" x14ac:dyDescent="0.25">
      <c r="B9" s="6" t="s">
        <v>199</v>
      </c>
      <c r="C9" s="19">
        <f>G8</f>
        <v>0</v>
      </c>
      <c r="D9" s="19">
        <f t="shared" si="0"/>
        <v>0</v>
      </c>
      <c r="E9" s="19"/>
      <c r="F9" s="19">
        <f>F8</f>
        <v>0</v>
      </c>
      <c r="G9" s="19">
        <f t="shared" ref="G9:G72" si="1">C9-E9</f>
        <v>0</v>
      </c>
    </row>
    <row r="10" spans="1:9" x14ac:dyDescent="0.25">
      <c r="B10" s="6" t="s">
        <v>200</v>
      </c>
      <c r="C10" s="19">
        <f t="shared" ref="C10:C73" si="2">G9</f>
        <v>0</v>
      </c>
      <c r="D10" s="19">
        <f t="shared" si="0"/>
        <v>0</v>
      </c>
      <c r="E10" s="19"/>
      <c r="F10" s="19">
        <f t="shared" ref="F10:F19" si="3">F9</f>
        <v>0</v>
      </c>
      <c r="G10" s="19">
        <f t="shared" si="1"/>
        <v>0</v>
      </c>
    </row>
    <row r="11" spans="1:9" x14ac:dyDescent="0.25">
      <c r="B11" s="6" t="s">
        <v>201</v>
      </c>
      <c r="C11" s="19">
        <f>G10+'Project Glance'!B21/4</f>
        <v>0</v>
      </c>
      <c r="D11" s="19">
        <f t="shared" si="0"/>
        <v>0</v>
      </c>
      <c r="E11" s="19"/>
      <c r="F11" s="19">
        <f t="shared" si="3"/>
        <v>0</v>
      </c>
      <c r="G11" s="19">
        <f t="shared" si="1"/>
        <v>0</v>
      </c>
    </row>
    <row r="12" spans="1:9" x14ac:dyDescent="0.25">
      <c r="B12" s="6" t="s">
        <v>202</v>
      </c>
      <c r="C12" s="19">
        <f t="shared" si="2"/>
        <v>0</v>
      </c>
      <c r="D12" s="19">
        <f t="shared" si="0"/>
        <v>0</v>
      </c>
      <c r="E12" s="19"/>
      <c r="F12" s="19">
        <f t="shared" si="3"/>
        <v>0</v>
      </c>
      <c r="G12" s="19">
        <f t="shared" si="1"/>
        <v>0</v>
      </c>
    </row>
    <row r="13" spans="1:9" x14ac:dyDescent="0.25">
      <c r="B13" s="6" t="s">
        <v>203</v>
      </c>
      <c r="C13" s="19">
        <f t="shared" si="2"/>
        <v>0</v>
      </c>
      <c r="D13" s="19">
        <f t="shared" si="0"/>
        <v>0</v>
      </c>
      <c r="E13" s="19"/>
      <c r="F13" s="19">
        <f t="shared" si="3"/>
        <v>0</v>
      </c>
      <c r="G13" s="19">
        <f t="shared" si="1"/>
        <v>0</v>
      </c>
    </row>
    <row r="14" spans="1:9" x14ac:dyDescent="0.25">
      <c r="B14" s="6" t="s">
        <v>204</v>
      </c>
      <c r="C14" s="19">
        <f>G13+'Project Glance'!B21/4</f>
        <v>0</v>
      </c>
      <c r="D14" s="19">
        <f t="shared" si="0"/>
        <v>0</v>
      </c>
      <c r="E14" s="19"/>
      <c r="F14" s="19">
        <f t="shared" si="3"/>
        <v>0</v>
      </c>
      <c r="G14" s="19">
        <f t="shared" si="1"/>
        <v>0</v>
      </c>
    </row>
    <row r="15" spans="1:9" x14ac:dyDescent="0.25">
      <c r="B15" s="6" t="s">
        <v>205</v>
      </c>
      <c r="C15" s="19">
        <f t="shared" si="2"/>
        <v>0</v>
      </c>
      <c r="D15" s="19">
        <f t="shared" si="0"/>
        <v>0</v>
      </c>
      <c r="E15" s="19"/>
      <c r="F15" s="19">
        <f t="shared" si="3"/>
        <v>0</v>
      </c>
      <c r="G15" s="19">
        <f t="shared" si="1"/>
        <v>0</v>
      </c>
    </row>
    <row r="16" spans="1:9" x14ac:dyDescent="0.25">
      <c r="B16" s="6" t="s">
        <v>206</v>
      </c>
      <c r="C16" s="19">
        <f t="shared" si="2"/>
        <v>0</v>
      </c>
      <c r="D16" s="19">
        <f t="shared" si="0"/>
        <v>0</v>
      </c>
      <c r="E16" s="19"/>
      <c r="F16" s="19">
        <f t="shared" si="3"/>
        <v>0</v>
      </c>
      <c r="G16" s="19">
        <f t="shared" si="1"/>
        <v>0</v>
      </c>
    </row>
    <row r="17" spans="1:9" x14ac:dyDescent="0.25">
      <c r="B17" s="6" t="s">
        <v>207</v>
      </c>
      <c r="C17" s="19">
        <f>G16+'Project Glance'!B21/4</f>
        <v>0</v>
      </c>
      <c r="D17" s="19">
        <f t="shared" si="0"/>
        <v>0</v>
      </c>
      <c r="E17" s="19"/>
      <c r="F17" s="19">
        <f t="shared" si="3"/>
        <v>0</v>
      </c>
      <c r="G17" s="19">
        <f t="shared" si="1"/>
        <v>0</v>
      </c>
    </row>
    <row r="18" spans="1:9" x14ac:dyDescent="0.25">
      <c r="B18" s="6" t="s">
        <v>208</v>
      </c>
      <c r="C18" s="19">
        <f t="shared" si="2"/>
        <v>0</v>
      </c>
      <c r="D18" s="19">
        <f t="shared" si="0"/>
        <v>0</v>
      </c>
      <c r="E18" s="19"/>
      <c r="F18" s="19">
        <f t="shared" si="3"/>
        <v>0</v>
      </c>
      <c r="G18" s="19">
        <f t="shared" si="1"/>
        <v>0</v>
      </c>
    </row>
    <row r="19" spans="1:9" x14ac:dyDescent="0.25">
      <c r="B19" s="6" t="s">
        <v>209</v>
      </c>
      <c r="C19" s="19">
        <f t="shared" si="2"/>
        <v>0</v>
      </c>
      <c r="D19" s="19">
        <f t="shared" si="0"/>
        <v>0</v>
      </c>
      <c r="E19" s="19"/>
      <c r="F19" s="19">
        <f t="shared" si="3"/>
        <v>0</v>
      </c>
      <c r="G19" s="19">
        <f t="shared" si="1"/>
        <v>0</v>
      </c>
      <c r="H19" s="13">
        <f>SUM(D8:D19)</f>
        <v>0</v>
      </c>
      <c r="I19" s="13">
        <f>SUM(E8:E19)</f>
        <v>0</v>
      </c>
    </row>
    <row r="20" spans="1:9" x14ac:dyDescent="0.25">
      <c r="A20" s="1" t="s">
        <v>210</v>
      </c>
      <c r="B20" s="6" t="s">
        <v>211</v>
      </c>
      <c r="C20" s="19">
        <f t="shared" si="2"/>
        <v>0</v>
      </c>
      <c r="D20" s="19">
        <f t="shared" si="0"/>
        <v>0</v>
      </c>
      <c r="E20" s="19">
        <f>C20/72</f>
        <v>0</v>
      </c>
      <c r="F20" s="19">
        <f>D20+E20</f>
        <v>0</v>
      </c>
      <c r="G20" s="19">
        <f t="shared" si="1"/>
        <v>0</v>
      </c>
    </row>
    <row r="21" spans="1:9" x14ac:dyDescent="0.25">
      <c r="B21" s="6" t="s">
        <v>212</v>
      </c>
      <c r="C21" s="19">
        <f t="shared" si="2"/>
        <v>0</v>
      </c>
      <c r="D21" s="19">
        <f t="shared" si="0"/>
        <v>0</v>
      </c>
      <c r="E21" s="19">
        <f>$E$20</f>
        <v>0</v>
      </c>
      <c r="F21" s="19">
        <f t="shared" ref="F21:F84" si="4">D21+E21</f>
        <v>0</v>
      </c>
      <c r="G21" s="19">
        <f t="shared" si="1"/>
        <v>0</v>
      </c>
    </row>
    <row r="22" spans="1:9" x14ac:dyDescent="0.25">
      <c r="B22" s="6" t="s">
        <v>213</v>
      </c>
      <c r="C22" s="19">
        <f t="shared" si="2"/>
        <v>0</v>
      </c>
      <c r="D22" s="19">
        <f t="shared" si="0"/>
        <v>0</v>
      </c>
      <c r="E22" s="19">
        <f t="shared" ref="E22:E85" si="5">$E$20</f>
        <v>0</v>
      </c>
      <c r="F22" s="19">
        <f t="shared" si="4"/>
        <v>0</v>
      </c>
      <c r="G22" s="19">
        <f t="shared" si="1"/>
        <v>0</v>
      </c>
    </row>
    <row r="23" spans="1:9" x14ac:dyDescent="0.25">
      <c r="B23" s="6" t="s">
        <v>214</v>
      </c>
      <c r="C23" s="19">
        <f t="shared" si="2"/>
        <v>0</v>
      </c>
      <c r="D23" s="19">
        <f t="shared" si="0"/>
        <v>0</v>
      </c>
      <c r="E23" s="19">
        <f t="shared" si="5"/>
        <v>0</v>
      </c>
      <c r="F23" s="19">
        <f t="shared" si="4"/>
        <v>0</v>
      </c>
      <c r="G23" s="19">
        <f t="shared" si="1"/>
        <v>0</v>
      </c>
    </row>
    <row r="24" spans="1:9" x14ac:dyDescent="0.25">
      <c r="B24" s="6" t="s">
        <v>215</v>
      </c>
      <c r="C24" s="19">
        <f t="shared" si="2"/>
        <v>0</v>
      </c>
      <c r="D24" s="19">
        <f t="shared" si="0"/>
        <v>0</v>
      </c>
      <c r="E24" s="19">
        <f t="shared" si="5"/>
        <v>0</v>
      </c>
      <c r="F24" s="19">
        <f t="shared" si="4"/>
        <v>0</v>
      </c>
      <c r="G24" s="19">
        <f t="shared" si="1"/>
        <v>0</v>
      </c>
    </row>
    <row r="25" spans="1:9" x14ac:dyDescent="0.25">
      <c r="B25" s="6" t="s">
        <v>216</v>
      </c>
      <c r="C25" s="19">
        <f t="shared" si="2"/>
        <v>0</v>
      </c>
      <c r="D25" s="19">
        <f t="shared" si="0"/>
        <v>0</v>
      </c>
      <c r="E25" s="19">
        <f t="shared" si="5"/>
        <v>0</v>
      </c>
      <c r="F25" s="19">
        <f t="shared" si="4"/>
        <v>0</v>
      </c>
      <c r="G25" s="19">
        <f t="shared" si="1"/>
        <v>0</v>
      </c>
    </row>
    <row r="26" spans="1:9" x14ac:dyDescent="0.25">
      <c r="B26" s="6" t="s">
        <v>217</v>
      </c>
      <c r="C26" s="19">
        <f t="shared" si="2"/>
        <v>0</v>
      </c>
      <c r="D26" s="19">
        <f t="shared" si="0"/>
        <v>0</v>
      </c>
      <c r="E26" s="19">
        <f t="shared" si="5"/>
        <v>0</v>
      </c>
      <c r="F26" s="19">
        <f t="shared" si="4"/>
        <v>0</v>
      </c>
      <c r="G26" s="19">
        <f t="shared" si="1"/>
        <v>0</v>
      </c>
    </row>
    <row r="27" spans="1:9" x14ac:dyDescent="0.25">
      <c r="B27" s="6" t="s">
        <v>218</v>
      </c>
      <c r="C27" s="19">
        <f t="shared" si="2"/>
        <v>0</v>
      </c>
      <c r="D27" s="19">
        <f t="shared" si="0"/>
        <v>0</v>
      </c>
      <c r="E27" s="19">
        <f t="shared" si="5"/>
        <v>0</v>
      </c>
      <c r="F27" s="19">
        <f t="shared" si="4"/>
        <v>0</v>
      </c>
      <c r="G27" s="19">
        <f t="shared" si="1"/>
        <v>0</v>
      </c>
    </row>
    <row r="28" spans="1:9" x14ac:dyDescent="0.25">
      <c r="B28" s="6" t="s">
        <v>219</v>
      </c>
      <c r="C28" s="19">
        <f t="shared" si="2"/>
        <v>0</v>
      </c>
      <c r="D28" s="19">
        <f t="shared" si="0"/>
        <v>0</v>
      </c>
      <c r="E28" s="19">
        <f t="shared" si="5"/>
        <v>0</v>
      </c>
      <c r="F28" s="19">
        <f t="shared" si="4"/>
        <v>0</v>
      </c>
      <c r="G28" s="19">
        <f t="shared" si="1"/>
        <v>0</v>
      </c>
    </row>
    <row r="29" spans="1:9" x14ac:dyDescent="0.25">
      <c r="B29" s="6" t="s">
        <v>220</v>
      </c>
      <c r="C29" s="19">
        <f t="shared" si="2"/>
        <v>0</v>
      </c>
      <c r="D29" s="19">
        <f t="shared" si="0"/>
        <v>0</v>
      </c>
      <c r="E29" s="19">
        <f t="shared" si="5"/>
        <v>0</v>
      </c>
      <c r="F29" s="19">
        <f t="shared" si="4"/>
        <v>0</v>
      </c>
      <c r="G29" s="19">
        <f t="shared" si="1"/>
        <v>0</v>
      </c>
    </row>
    <row r="30" spans="1:9" x14ac:dyDescent="0.25">
      <c r="B30" s="6" t="s">
        <v>221</v>
      </c>
      <c r="C30" s="19">
        <f t="shared" si="2"/>
        <v>0</v>
      </c>
      <c r="D30" s="19">
        <f t="shared" si="0"/>
        <v>0</v>
      </c>
      <c r="E30" s="19">
        <f t="shared" si="5"/>
        <v>0</v>
      </c>
      <c r="F30" s="19">
        <f t="shared" si="4"/>
        <v>0</v>
      </c>
      <c r="G30" s="19">
        <f t="shared" si="1"/>
        <v>0</v>
      </c>
    </row>
    <row r="31" spans="1:9" x14ac:dyDescent="0.25">
      <c r="B31" s="6" t="s">
        <v>222</v>
      </c>
      <c r="C31" s="19">
        <f t="shared" si="2"/>
        <v>0</v>
      </c>
      <c r="D31" s="19">
        <f t="shared" si="0"/>
        <v>0</v>
      </c>
      <c r="E31" s="19">
        <f t="shared" si="5"/>
        <v>0</v>
      </c>
      <c r="F31" s="19">
        <f t="shared" si="4"/>
        <v>0</v>
      </c>
      <c r="G31" s="19">
        <f t="shared" si="1"/>
        <v>0</v>
      </c>
      <c r="H31" s="13">
        <f>SUM(D20:D31)</f>
        <v>0</v>
      </c>
      <c r="I31" s="13">
        <f>SUM(E20:E31)</f>
        <v>0</v>
      </c>
    </row>
    <row r="32" spans="1:9" x14ac:dyDescent="0.25">
      <c r="A32" s="1" t="s">
        <v>223</v>
      </c>
      <c r="B32" s="6" t="s">
        <v>224</v>
      </c>
      <c r="C32" s="19">
        <f t="shared" si="2"/>
        <v>0</v>
      </c>
      <c r="D32" s="19">
        <f t="shared" si="0"/>
        <v>0</v>
      </c>
      <c r="E32" s="19">
        <f t="shared" si="5"/>
        <v>0</v>
      </c>
      <c r="F32" s="19">
        <f t="shared" si="4"/>
        <v>0</v>
      </c>
      <c r="G32" s="19">
        <f t="shared" si="1"/>
        <v>0</v>
      </c>
    </row>
    <row r="33" spans="1:9" x14ac:dyDescent="0.25">
      <c r="B33" s="6" t="s">
        <v>225</v>
      </c>
      <c r="C33" s="19">
        <f t="shared" si="2"/>
        <v>0</v>
      </c>
      <c r="D33" s="19">
        <f t="shared" si="0"/>
        <v>0</v>
      </c>
      <c r="E33" s="19">
        <f t="shared" si="5"/>
        <v>0</v>
      </c>
      <c r="F33" s="19">
        <f t="shared" si="4"/>
        <v>0</v>
      </c>
      <c r="G33" s="19">
        <f t="shared" si="1"/>
        <v>0</v>
      </c>
    </row>
    <row r="34" spans="1:9" x14ac:dyDescent="0.25">
      <c r="B34" s="6" t="s">
        <v>226</v>
      </c>
      <c r="C34" s="19">
        <f t="shared" si="2"/>
        <v>0</v>
      </c>
      <c r="D34" s="19">
        <f t="shared" si="0"/>
        <v>0</v>
      </c>
      <c r="E34" s="19">
        <f t="shared" si="5"/>
        <v>0</v>
      </c>
      <c r="F34" s="19">
        <f t="shared" si="4"/>
        <v>0</v>
      </c>
      <c r="G34" s="19">
        <f t="shared" si="1"/>
        <v>0</v>
      </c>
    </row>
    <row r="35" spans="1:9" x14ac:dyDescent="0.25">
      <c r="B35" s="6" t="s">
        <v>227</v>
      </c>
      <c r="C35" s="19">
        <f t="shared" si="2"/>
        <v>0</v>
      </c>
      <c r="D35" s="19">
        <f t="shared" si="0"/>
        <v>0</v>
      </c>
      <c r="E35" s="19">
        <f t="shared" si="5"/>
        <v>0</v>
      </c>
      <c r="F35" s="19">
        <f t="shared" si="4"/>
        <v>0</v>
      </c>
      <c r="G35" s="19">
        <f t="shared" si="1"/>
        <v>0</v>
      </c>
    </row>
    <row r="36" spans="1:9" x14ac:dyDescent="0.25">
      <c r="B36" s="6" t="s">
        <v>228</v>
      </c>
      <c r="C36" s="19">
        <f t="shared" si="2"/>
        <v>0</v>
      </c>
      <c r="D36" s="19">
        <f t="shared" si="0"/>
        <v>0</v>
      </c>
      <c r="E36" s="19">
        <f t="shared" si="5"/>
        <v>0</v>
      </c>
      <c r="F36" s="19">
        <f t="shared" si="4"/>
        <v>0</v>
      </c>
      <c r="G36" s="19">
        <f t="shared" si="1"/>
        <v>0</v>
      </c>
    </row>
    <row r="37" spans="1:9" x14ac:dyDescent="0.25">
      <c r="B37" s="6" t="s">
        <v>229</v>
      </c>
      <c r="C37" s="19">
        <f t="shared" si="2"/>
        <v>0</v>
      </c>
      <c r="D37" s="19">
        <f t="shared" si="0"/>
        <v>0</v>
      </c>
      <c r="E37" s="19">
        <f t="shared" si="5"/>
        <v>0</v>
      </c>
      <c r="F37" s="19">
        <f t="shared" si="4"/>
        <v>0</v>
      </c>
      <c r="G37" s="19">
        <f t="shared" si="1"/>
        <v>0</v>
      </c>
    </row>
    <row r="38" spans="1:9" x14ac:dyDescent="0.25">
      <c r="B38" s="6" t="s">
        <v>230</v>
      </c>
      <c r="C38" s="19">
        <f t="shared" si="2"/>
        <v>0</v>
      </c>
      <c r="D38" s="19">
        <f t="shared" si="0"/>
        <v>0</v>
      </c>
      <c r="E38" s="19">
        <f t="shared" si="5"/>
        <v>0</v>
      </c>
      <c r="F38" s="19">
        <f t="shared" si="4"/>
        <v>0</v>
      </c>
      <c r="G38" s="19">
        <f t="shared" si="1"/>
        <v>0</v>
      </c>
    </row>
    <row r="39" spans="1:9" x14ac:dyDescent="0.25">
      <c r="B39" s="6" t="s">
        <v>231</v>
      </c>
      <c r="C39" s="19">
        <f t="shared" si="2"/>
        <v>0</v>
      </c>
      <c r="D39" s="19">
        <f t="shared" si="0"/>
        <v>0</v>
      </c>
      <c r="E39" s="19">
        <f t="shared" si="5"/>
        <v>0</v>
      </c>
      <c r="F39" s="19">
        <f t="shared" si="4"/>
        <v>0</v>
      </c>
      <c r="G39" s="19">
        <f t="shared" si="1"/>
        <v>0</v>
      </c>
    </row>
    <row r="40" spans="1:9" x14ac:dyDescent="0.25">
      <c r="B40" s="6" t="s">
        <v>232</v>
      </c>
      <c r="C40" s="19">
        <f t="shared" si="2"/>
        <v>0</v>
      </c>
      <c r="D40" s="19">
        <f t="shared" si="0"/>
        <v>0</v>
      </c>
      <c r="E40" s="19">
        <f t="shared" si="5"/>
        <v>0</v>
      </c>
      <c r="F40" s="19">
        <f t="shared" si="4"/>
        <v>0</v>
      </c>
      <c r="G40" s="19">
        <f t="shared" si="1"/>
        <v>0</v>
      </c>
    </row>
    <row r="41" spans="1:9" x14ac:dyDescent="0.25">
      <c r="B41" s="6" t="s">
        <v>233</v>
      </c>
      <c r="C41" s="19">
        <f t="shared" si="2"/>
        <v>0</v>
      </c>
      <c r="D41" s="19">
        <f t="shared" si="0"/>
        <v>0</v>
      </c>
      <c r="E41" s="19">
        <f t="shared" si="5"/>
        <v>0</v>
      </c>
      <c r="F41" s="19">
        <f t="shared" si="4"/>
        <v>0</v>
      </c>
      <c r="G41" s="19">
        <f t="shared" si="1"/>
        <v>0</v>
      </c>
    </row>
    <row r="42" spans="1:9" x14ac:dyDescent="0.25">
      <c r="B42" s="6" t="s">
        <v>234</v>
      </c>
      <c r="C42" s="19">
        <f t="shared" si="2"/>
        <v>0</v>
      </c>
      <c r="D42" s="19">
        <f t="shared" si="0"/>
        <v>0</v>
      </c>
      <c r="E42" s="19">
        <f t="shared" si="5"/>
        <v>0</v>
      </c>
      <c r="F42" s="19">
        <f t="shared" si="4"/>
        <v>0</v>
      </c>
      <c r="G42" s="19">
        <f t="shared" si="1"/>
        <v>0</v>
      </c>
    </row>
    <row r="43" spans="1:9" x14ac:dyDescent="0.25">
      <c r="B43" s="6" t="s">
        <v>235</v>
      </c>
      <c r="C43" s="19">
        <f t="shared" si="2"/>
        <v>0</v>
      </c>
      <c r="D43" s="19">
        <f t="shared" si="0"/>
        <v>0</v>
      </c>
      <c r="E43" s="19">
        <f t="shared" si="5"/>
        <v>0</v>
      </c>
      <c r="F43" s="19">
        <f t="shared" si="4"/>
        <v>0</v>
      </c>
      <c r="G43" s="19">
        <f t="shared" si="1"/>
        <v>0</v>
      </c>
      <c r="H43" s="13">
        <f>SUM(D32:D43)</f>
        <v>0</v>
      </c>
      <c r="I43" s="13">
        <f>SUM(E32:E43)</f>
        <v>0</v>
      </c>
    </row>
    <row r="44" spans="1:9" x14ac:dyDescent="0.25">
      <c r="A44" s="1" t="s">
        <v>236</v>
      </c>
      <c r="B44" s="6" t="s">
        <v>237</v>
      </c>
      <c r="C44" s="19">
        <f t="shared" si="2"/>
        <v>0</v>
      </c>
      <c r="D44" s="19">
        <f t="shared" si="0"/>
        <v>0</v>
      </c>
      <c r="E44" s="19">
        <f t="shared" si="5"/>
        <v>0</v>
      </c>
      <c r="F44" s="19">
        <f t="shared" si="4"/>
        <v>0</v>
      </c>
      <c r="G44" s="19">
        <f t="shared" si="1"/>
        <v>0</v>
      </c>
    </row>
    <row r="45" spans="1:9" x14ac:dyDescent="0.25">
      <c r="B45" s="6" t="s">
        <v>238</v>
      </c>
      <c r="C45" s="19">
        <f t="shared" si="2"/>
        <v>0</v>
      </c>
      <c r="D45" s="19">
        <f t="shared" si="0"/>
        <v>0</v>
      </c>
      <c r="E45" s="19">
        <f t="shared" si="5"/>
        <v>0</v>
      </c>
      <c r="F45" s="19">
        <f t="shared" si="4"/>
        <v>0</v>
      </c>
      <c r="G45" s="19">
        <f t="shared" si="1"/>
        <v>0</v>
      </c>
    </row>
    <row r="46" spans="1:9" x14ac:dyDescent="0.25">
      <c r="B46" s="6" t="s">
        <v>239</v>
      </c>
      <c r="C46" s="19">
        <f t="shared" si="2"/>
        <v>0</v>
      </c>
      <c r="D46" s="19">
        <f t="shared" si="0"/>
        <v>0</v>
      </c>
      <c r="E46" s="19">
        <f t="shared" si="5"/>
        <v>0</v>
      </c>
      <c r="F46" s="19">
        <f t="shared" si="4"/>
        <v>0</v>
      </c>
      <c r="G46" s="19">
        <f t="shared" si="1"/>
        <v>0</v>
      </c>
    </row>
    <row r="47" spans="1:9" x14ac:dyDescent="0.25">
      <c r="B47" s="6" t="s">
        <v>240</v>
      </c>
      <c r="C47" s="19">
        <f t="shared" si="2"/>
        <v>0</v>
      </c>
      <c r="D47" s="19">
        <f t="shared" si="0"/>
        <v>0</v>
      </c>
      <c r="E47" s="19">
        <f t="shared" si="5"/>
        <v>0</v>
      </c>
      <c r="F47" s="19">
        <f t="shared" si="4"/>
        <v>0</v>
      </c>
      <c r="G47" s="19">
        <f t="shared" si="1"/>
        <v>0</v>
      </c>
    </row>
    <row r="48" spans="1:9" x14ac:dyDescent="0.25">
      <c r="B48" s="6" t="s">
        <v>241</v>
      </c>
      <c r="C48" s="19">
        <f t="shared" si="2"/>
        <v>0</v>
      </c>
      <c r="D48" s="19">
        <f t="shared" si="0"/>
        <v>0</v>
      </c>
      <c r="E48" s="19">
        <f t="shared" si="5"/>
        <v>0</v>
      </c>
      <c r="F48" s="19">
        <f t="shared" si="4"/>
        <v>0</v>
      </c>
      <c r="G48" s="19">
        <f t="shared" si="1"/>
        <v>0</v>
      </c>
    </row>
    <row r="49" spans="1:9" x14ac:dyDescent="0.25">
      <c r="B49" s="6" t="s">
        <v>242</v>
      </c>
      <c r="C49" s="19">
        <f t="shared" si="2"/>
        <v>0</v>
      </c>
      <c r="D49" s="19">
        <f t="shared" si="0"/>
        <v>0</v>
      </c>
      <c r="E49" s="19">
        <f t="shared" si="5"/>
        <v>0</v>
      </c>
      <c r="F49" s="19">
        <f t="shared" si="4"/>
        <v>0</v>
      </c>
      <c r="G49" s="19">
        <f t="shared" si="1"/>
        <v>0</v>
      </c>
    </row>
    <row r="50" spans="1:9" x14ac:dyDescent="0.25">
      <c r="B50" s="6" t="s">
        <v>243</v>
      </c>
      <c r="C50" s="19">
        <f t="shared" si="2"/>
        <v>0</v>
      </c>
      <c r="D50" s="19">
        <f t="shared" si="0"/>
        <v>0</v>
      </c>
      <c r="E50" s="19">
        <f t="shared" si="5"/>
        <v>0</v>
      </c>
      <c r="F50" s="19">
        <f t="shared" si="4"/>
        <v>0</v>
      </c>
      <c r="G50" s="19">
        <f t="shared" si="1"/>
        <v>0</v>
      </c>
    </row>
    <row r="51" spans="1:9" x14ac:dyDescent="0.25">
      <c r="B51" s="6" t="s">
        <v>244</v>
      </c>
      <c r="C51" s="19">
        <f t="shared" si="2"/>
        <v>0</v>
      </c>
      <c r="D51" s="19">
        <f t="shared" si="0"/>
        <v>0</v>
      </c>
      <c r="E51" s="19">
        <f t="shared" si="5"/>
        <v>0</v>
      </c>
      <c r="F51" s="19">
        <f t="shared" si="4"/>
        <v>0</v>
      </c>
      <c r="G51" s="19">
        <f t="shared" si="1"/>
        <v>0</v>
      </c>
    </row>
    <row r="52" spans="1:9" x14ac:dyDescent="0.25">
      <c r="B52" s="6" t="s">
        <v>245</v>
      </c>
      <c r="C52" s="19">
        <f t="shared" si="2"/>
        <v>0</v>
      </c>
      <c r="D52" s="19">
        <f t="shared" si="0"/>
        <v>0</v>
      </c>
      <c r="E52" s="19">
        <f t="shared" si="5"/>
        <v>0</v>
      </c>
      <c r="F52" s="19">
        <f t="shared" si="4"/>
        <v>0</v>
      </c>
      <c r="G52" s="19">
        <f t="shared" si="1"/>
        <v>0</v>
      </c>
    </row>
    <row r="53" spans="1:9" x14ac:dyDescent="0.25">
      <c r="B53" s="6" t="s">
        <v>246</v>
      </c>
      <c r="C53" s="19">
        <f t="shared" si="2"/>
        <v>0</v>
      </c>
      <c r="D53" s="19">
        <f t="shared" si="0"/>
        <v>0</v>
      </c>
      <c r="E53" s="19">
        <f t="shared" si="5"/>
        <v>0</v>
      </c>
      <c r="F53" s="19">
        <f t="shared" si="4"/>
        <v>0</v>
      </c>
      <c r="G53" s="19">
        <f t="shared" si="1"/>
        <v>0</v>
      </c>
    </row>
    <row r="54" spans="1:9" x14ac:dyDescent="0.25">
      <c r="B54" s="6" t="s">
        <v>247</v>
      </c>
      <c r="C54" s="19">
        <f t="shared" si="2"/>
        <v>0</v>
      </c>
      <c r="D54" s="19">
        <f t="shared" si="0"/>
        <v>0</v>
      </c>
      <c r="E54" s="19">
        <f t="shared" si="5"/>
        <v>0</v>
      </c>
      <c r="F54" s="19">
        <f t="shared" si="4"/>
        <v>0</v>
      </c>
      <c r="G54" s="19">
        <f t="shared" si="1"/>
        <v>0</v>
      </c>
    </row>
    <row r="55" spans="1:9" x14ac:dyDescent="0.25">
      <c r="B55" s="6" t="s">
        <v>248</v>
      </c>
      <c r="C55" s="19">
        <f t="shared" si="2"/>
        <v>0</v>
      </c>
      <c r="D55" s="19">
        <f t="shared" si="0"/>
        <v>0</v>
      </c>
      <c r="E55" s="19">
        <f t="shared" si="5"/>
        <v>0</v>
      </c>
      <c r="F55" s="19">
        <f t="shared" si="4"/>
        <v>0</v>
      </c>
      <c r="G55" s="19">
        <f t="shared" si="1"/>
        <v>0</v>
      </c>
      <c r="H55" s="13">
        <f>SUM(D44:D55)</f>
        <v>0</v>
      </c>
      <c r="I55" s="13">
        <f>SUM(E44:E55)</f>
        <v>0</v>
      </c>
    </row>
    <row r="56" spans="1:9" x14ac:dyDescent="0.25">
      <c r="A56" s="1" t="s">
        <v>249</v>
      </c>
      <c r="B56" s="6" t="s">
        <v>250</v>
      </c>
      <c r="C56" s="19">
        <f t="shared" si="2"/>
        <v>0</v>
      </c>
      <c r="D56" s="19">
        <f t="shared" si="0"/>
        <v>0</v>
      </c>
      <c r="E56" s="19">
        <f t="shared" si="5"/>
        <v>0</v>
      </c>
      <c r="F56" s="19">
        <f t="shared" si="4"/>
        <v>0</v>
      </c>
      <c r="G56" s="19">
        <f t="shared" si="1"/>
        <v>0</v>
      </c>
    </row>
    <row r="57" spans="1:9" x14ac:dyDescent="0.25">
      <c r="B57" s="6" t="s">
        <v>251</v>
      </c>
      <c r="C57" s="19">
        <f t="shared" si="2"/>
        <v>0</v>
      </c>
      <c r="D57" s="19">
        <f t="shared" si="0"/>
        <v>0</v>
      </c>
      <c r="E57" s="19">
        <f t="shared" si="5"/>
        <v>0</v>
      </c>
      <c r="F57" s="19">
        <f t="shared" si="4"/>
        <v>0</v>
      </c>
      <c r="G57" s="19">
        <f t="shared" si="1"/>
        <v>0</v>
      </c>
    </row>
    <row r="58" spans="1:9" x14ac:dyDescent="0.25">
      <c r="B58" s="6" t="s">
        <v>252</v>
      </c>
      <c r="C58" s="19">
        <f t="shared" si="2"/>
        <v>0</v>
      </c>
      <c r="D58" s="19">
        <f t="shared" si="0"/>
        <v>0</v>
      </c>
      <c r="E58" s="19">
        <f t="shared" si="5"/>
        <v>0</v>
      </c>
      <c r="F58" s="19">
        <f t="shared" si="4"/>
        <v>0</v>
      </c>
      <c r="G58" s="19">
        <f t="shared" si="1"/>
        <v>0</v>
      </c>
    </row>
    <row r="59" spans="1:9" x14ac:dyDescent="0.25">
      <c r="B59" s="6" t="s">
        <v>253</v>
      </c>
      <c r="C59" s="19">
        <f t="shared" si="2"/>
        <v>0</v>
      </c>
      <c r="D59" s="19">
        <f t="shared" si="0"/>
        <v>0</v>
      </c>
      <c r="E59" s="19">
        <f t="shared" si="5"/>
        <v>0</v>
      </c>
      <c r="F59" s="19">
        <f t="shared" si="4"/>
        <v>0</v>
      </c>
      <c r="G59" s="19">
        <f t="shared" si="1"/>
        <v>0</v>
      </c>
    </row>
    <row r="60" spans="1:9" x14ac:dyDescent="0.25">
      <c r="B60" s="6" t="s">
        <v>254</v>
      </c>
      <c r="C60" s="19">
        <f t="shared" si="2"/>
        <v>0</v>
      </c>
      <c r="D60" s="19">
        <f t="shared" si="0"/>
        <v>0</v>
      </c>
      <c r="E60" s="19">
        <f t="shared" si="5"/>
        <v>0</v>
      </c>
      <c r="F60" s="19">
        <f t="shared" si="4"/>
        <v>0</v>
      </c>
      <c r="G60" s="19">
        <f t="shared" si="1"/>
        <v>0</v>
      </c>
    </row>
    <row r="61" spans="1:9" x14ac:dyDescent="0.25">
      <c r="B61" s="6" t="s">
        <v>255</v>
      </c>
      <c r="C61" s="19">
        <f t="shared" si="2"/>
        <v>0</v>
      </c>
      <c r="D61" s="19">
        <f t="shared" si="0"/>
        <v>0</v>
      </c>
      <c r="E61" s="19">
        <f t="shared" si="5"/>
        <v>0</v>
      </c>
      <c r="F61" s="19">
        <f t="shared" si="4"/>
        <v>0</v>
      </c>
      <c r="G61" s="19">
        <f t="shared" si="1"/>
        <v>0</v>
      </c>
    </row>
    <row r="62" spans="1:9" x14ac:dyDescent="0.25">
      <c r="B62" s="6" t="s">
        <v>256</v>
      </c>
      <c r="C62" s="19">
        <f t="shared" si="2"/>
        <v>0</v>
      </c>
      <c r="D62" s="19">
        <f t="shared" si="0"/>
        <v>0</v>
      </c>
      <c r="E62" s="19">
        <f t="shared" si="5"/>
        <v>0</v>
      </c>
      <c r="F62" s="19">
        <f t="shared" si="4"/>
        <v>0</v>
      </c>
      <c r="G62" s="19">
        <f t="shared" si="1"/>
        <v>0</v>
      </c>
    </row>
    <row r="63" spans="1:9" x14ac:dyDescent="0.25">
      <c r="B63" s="6" t="s">
        <v>257</v>
      </c>
      <c r="C63" s="19">
        <f t="shared" si="2"/>
        <v>0</v>
      </c>
      <c r="D63" s="19">
        <f t="shared" si="0"/>
        <v>0</v>
      </c>
      <c r="E63" s="19">
        <f t="shared" si="5"/>
        <v>0</v>
      </c>
      <c r="F63" s="19">
        <f t="shared" si="4"/>
        <v>0</v>
      </c>
      <c r="G63" s="19">
        <f t="shared" si="1"/>
        <v>0</v>
      </c>
    </row>
    <row r="64" spans="1:9" x14ac:dyDescent="0.25">
      <c r="B64" s="6" t="s">
        <v>258</v>
      </c>
      <c r="C64" s="19">
        <f t="shared" si="2"/>
        <v>0</v>
      </c>
      <c r="D64" s="19">
        <f t="shared" si="0"/>
        <v>0</v>
      </c>
      <c r="E64" s="19">
        <f t="shared" si="5"/>
        <v>0</v>
      </c>
      <c r="F64" s="19">
        <f t="shared" si="4"/>
        <v>0</v>
      </c>
      <c r="G64" s="19">
        <f t="shared" si="1"/>
        <v>0</v>
      </c>
    </row>
    <row r="65" spans="1:9" x14ac:dyDescent="0.25">
      <c r="B65" s="6" t="s">
        <v>259</v>
      </c>
      <c r="C65" s="19">
        <f t="shared" si="2"/>
        <v>0</v>
      </c>
      <c r="D65" s="19">
        <f t="shared" si="0"/>
        <v>0</v>
      </c>
      <c r="E65" s="19">
        <f t="shared" si="5"/>
        <v>0</v>
      </c>
      <c r="F65" s="19">
        <f t="shared" si="4"/>
        <v>0</v>
      </c>
      <c r="G65" s="19">
        <f t="shared" si="1"/>
        <v>0</v>
      </c>
    </row>
    <row r="66" spans="1:9" x14ac:dyDescent="0.25">
      <c r="B66" s="6" t="s">
        <v>260</v>
      </c>
      <c r="C66" s="19">
        <f t="shared" si="2"/>
        <v>0</v>
      </c>
      <c r="D66" s="19">
        <f t="shared" si="0"/>
        <v>0</v>
      </c>
      <c r="E66" s="19">
        <f t="shared" si="5"/>
        <v>0</v>
      </c>
      <c r="F66" s="19">
        <f t="shared" si="4"/>
        <v>0</v>
      </c>
      <c r="G66" s="19">
        <f t="shared" si="1"/>
        <v>0</v>
      </c>
    </row>
    <row r="67" spans="1:9" x14ac:dyDescent="0.25">
      <c r="B67" s="6" t="s">
        <v>261</v>
      </c>
      <c r="C67" s="19">
        <f t="shared" si="2"/>
        <v>0</v>
      </c>
      <c r="D67" s="19">
        <f t="shared" si="0"/>
        <v>0</v>
      </c>
      <c r="E67" s="19">
        <f t="shared" si="5"/>
        <v>0</v>
      </c>
      <c r="F67" s="19">
        <f t="shared" si="4"/>
        <v>0</v>
      </c>
      <c r="G67" s="19">
        <f t="shared" si="1"/>
        <v>0</v>
      </c>
      <c r="H67" s="13">
        <f>SUM(D56:D67)</f>
        <v>0</v>
      </c>
      <c r="I67" s="13">
        <f>SUM(E56:E67)</f>
        <v>0</v>
      </c>
    </row>
    <row r="68" spans="1:9" x14ac:dyDescent="0.25">
      <c r="A68" s="1" t="s">
        <v>262</v>
      </c>
      <c r="B68" s="6" t="s">
        <v>263</v>
      </c>
      <c r="C68" s="19">
        <f t="shared" si="2"/>
        <v>0</v>
      </c>
      <c r="D68" s="19">
        <f t="shared" si="0"/>
        <v>0</v>
      </c>
      <c r="E68" s="19">
        <f t="shared" si="5"/>
        <v>0</v>
      </c>
      <c r="F68" s="19">
        <f t="shared" si="4"/>
        <v>0</v>
      </c>
      <c r="G68" s="19">
        <f t="shared" si="1"/>
        <v>0</v>
      </c>
    </row>
    <row r="69" spans="1:9" x14ac:dyDescent="0.25">
      <c r="B69" s="6" t="s">
        <v>264</v>
      </c>
      <c r="C69" s="19">
        <f t="shared" si="2"/>
        <v>0</v>
      </c>
      <c r="D69" s="19">
        <f t="shared" si="0"/>
        <v>0</v>
      </c>
      <c r="E69" s="19">
        <f t="shared" si="5"/>
        <v>0</v>
      </c>
      <c r="F69" s="19">
        <f t="shared" si="4"/>
        <v>0</v>
      </c>
      <c r="G69" s="19">
        <f t="shared" si="1"/>
        <v>0</v>
      </c>
    </row>
    <row r="70" spans="1:9" x14ac:dyDescent="0.25">
      <c r="B70" s="6" t="s">
        <v>265</v>
      </c>
      <c r="C70" s="19">
        <f t="shared" si="2"/>
        <v>0</v>
      </c>
      <c r="D70" s="19">
        <f t="shared" si="0"/>
        <v>0</v>
      </c>
      <c r="E70" s="19">
        <f t="shared" si="5"/>
        <v>0</v>
      </c>
      <c r="F70" s="19">
        <f t="shared" si="4"/>
        <v>0</v>
      </c>
      <c r="G70" s="19">
        <f t="shared" si="1"/>
        <v>0</v>
      </c>
    </row>
    <row r="71" spans="1:9" x14ac:dyDescent="0.25">
      <c r="B71" s="6" t="s">
        <v>266</v>
      </c>
      <c r="C71" s="19">
        <f t="shared" si="2"/>
        <v>0</v>
      </c>
      <c r="D71" s="19">
        <f t="shared" si="0"/>
        <v>0</v>
      </c>
      <c r="E71" s="19">
        <f t="shared" si="5"/>
        <v>0</v>
      </c>
      <c r="F71" s="19">
        <f t="shared" si="4"/>
        <v>0</v>
      </c>
      <c r="G71" s="19">
        <f t="shared" si="1"/>
        <v>0</v>
      </c>
    </row>
    <row r="72" spans="1:9" x14ac:dyDescent="0.25">
      <c r="B72" s="6" t="s">
        <v>267</v>
      </c>
      <c r="C72" s="19">
        <f t="shared" si="2"/>
        <v>0</v>
      </c>
      <c r="D72" s="19">
        <f t="shared" ref="D72:D91" si="6">C72*$D$5/12</f>
        <v>0</v>
      </c>
      <c r="E72" s="19">
        <f t="shared" si="5"/>
        <v>0</v>
      </c>
      <c r="F72" s="19">
        <f t="shared" si="4"/>
        <v>0</v>
      </c>
      <c r="G72" s="19">
        <f t="shared" si="1"/>
        <v>0</v>
      </c>
    </row>
    <row r="73" spans="1:9" x14ac:dyDescent="0.25">
      <c r="B73" s="6" t="s">
        <v>268</v>
      </c>
      <c r="C73" s="19">
        <f t="shared" si="2"/>
        <v>0</v>
      </c>
      <c r="D73" s="19">
        <f t="shared" si="6"/>
        <v>0</v>
      </c>
      <c r="E73" s="19">
        <f t="shared" si="5"/>
        <v>0</v>
      </c>
      <c r="F73" s="19">
        <f t="shared" si="4"/>
        <v>0</v>
      </c>
      <c r="G73" s="19">
        <f t="shared" ref="G73:G91" si="7">C73-E73</f>
        <v>0</v>
      </c>
    </row>
    <row r="74" spans="1:9" x14ac:dyDescent="0.25">
      <c r="B74" s="6" t="s">
        <v>269</v>
      </c>
      <c r="C74" s="19">
        <f t="shared" ref="C74:C91" si="8">G73</f>
        <v>0</v>
      </c>
      <c r="D74" s="19">
        <f t="shared" si="6"/>
        <v>0</v>
      </c>
      <c r="E74" s="19">
        <f t="shared" si="5"/>
        <v>0</v>
      </c>
      <c r="F74" s="19">
        <f t="shared" si="4"/>
        <v>0</v>
      </c>
      <c r="G74" s="19">
        <f t="shared" si="7"/>
        <v>0</v>
      </c>
    </row>
    <row r="75" spans="1:9" x14ac:dyDescent="0.25">
      <c r="B75" s="6" t="s">
        <v>270</v>
      </c>
      <c r="C75" s="19">
        <f t="shared" si="8"/>
        <v>0</v>
      </c>
      <c r="D75" s="19">
        <f t="shared" si="6"/>
        <v>0</v>
      </c>
      <c r="E75" s="19">
        <f t="shared" si="5"/>
        <v>0</v>
      </c>
      <c r="F75" s="19">
        <f t="shared" si="4"/>
        <v>0</v>
      </c>
      <c r="G75" s="19">
        <f t="shared" si="7"/>
        <v>0</v>
      </c>
    </row>
    <row r="76" spans="1:9" x14ac:dyDescent="0.25">
      <c r="B76" s="6" t="s">
        <v>271</v>
      </c>
      <c r="C76" s="19">
        <f t="shared" si="8"/>
        <v>0</v>
      </c>
      <c r="D76" s="19">
        <f t="shared" si="6"/>
        <v>0</v>
      </c>
      <c r="E76" s="19">
        <f t="shared" si="5"/>
        <v>0</v>
      </c>
      <c r="F76" s="19">
        <f t="shared" si="4"/>
        <v>0</v>
      </c>
      <c r="G76" s="19">
        <f t="shared" si="7"/>
        <v>0</v>
      </c>
    </row>
    <row r="77" spans="1:9" x14ac:dyDescent="0.25">
      <c r="B77" s="6" t="s">
        <v>272</v>
      </c>
      <c r="C77" s="19">
        <f t="shared" si="8"/>
        <v>0</v>
      </c>
      <c r="D77" s="19">
        <f t="shared" si="6"/>
        <v>0</v>
      </c>
      <c r="E77" s="19">
        <f t="shared" si="5"/>
        <v>0</v>
      </c>
      <c r="F77" s="19">
        <f t="shared" si="4"/>
        <v>0</v>
      </c>
      <c r="G77" s="19">
        <f t="shared" si="7"/>
        <v>0</v>
      </c>
    </row>
    <row r="78" spans="1:9" x14ac:dyDescent="0.25">
      <c r="B78" s="6" t="s">
        <v>273</v>
      </c>
      <c r="C78" s="19">
        <f t="shared" si="8"/>
        <v>0</v>
      </c>
      <c r="D78" s="19">
        <f t="shared" si="6"/>
        <v>0</v>
      </c>
      <c r="E78" s="19">
        <f t="shared" si="5"/>
        <v>0</v>
      </c>
      <c r="F78" s="19">
        <f t="shared" si="4"/>
        <v>0</v>
      </c>
      <c r="G78" s="19">
        <f t="shared" si="7"/>
        <v>0</v>
      </c>
    </row>
    <row r="79" spans="1:9" x14ac:dyDescent="0.25">
      <c r="B79" s="6" t="s">
        <v>274</v>
      </c>
      <c r="C79" s="19">
        <f t="shared" si="8"/>
        <v>0</v>
      </c>
      <c r="D79" s="19">
        <f t="shared" si="6"/>
        <v>0</v>
      </c>
      <c r="E79" s="19">
        <f t="shared" si="5"/>
        <v>0</v>
      </c>
      <c r="F79" s="19">
        <f t="shared" si="4"/>
        <v>0</v>
      </c>
      <c r="G79" s="19">
        <f t="shared" si="7"/>
        <v>0</v>
      </c>
      <c r="H79" s="13">
        <f>SUM(D68:D79)</f>
        <v>0</v>
      </c>
      <c r="I79" s="13">
        <f>SUM(E68:E79)</f>
        <v>0</v>
      </c>
    </row>
    <row r="80" spans="1:9" x14ac:dyDescent="0.25">
      <c r="A80" s="1" t="s">
        <v>287</v>
      </c>
      <c r="B80" s="6" t="s">
        <v>275</v>
      </c>
      <c r="C80" s="19">
        <f t="shared" si="8"/>
        <v>0</v>
      </c>
      <c r="D80" s="19">
        <f t="shared" si="6"/>
        <v>0</v>
      </c>
      <c r="E80" s="19">
        <f t="shared" si="5"/>
        <v>0</v>
      </c>
      <c r="F80" s="19">
        <f t="shared" si="4"/>
        <v>0</v>
      </c>
      <c r="G80" s="19">
        <f t="shared" si="7"/>
        <v>0</v>
      </c>
    </row>
    <row r="81" spans="1:9" x14ac:dyDescent="0.25">
      <c r="A81" s="23"/>
      <c r="B81" s="6" t="s">
        <v>276</v>
      </c>
      <c r="C81" s="19">
        <f t="shared" si="8"/>
        <v>0</v>
      </c>
      <c r="D81" s="19">
        <f t="shared" si="6"/>
        <v>0</v>
      </c>
      <c r="E81" s="19">
        <f t="shared" si="5"/>
        <v>0</v>
      </c>
      <c r="F81" s="19">
        <f t="shared" si="4"/>
        <v>0</v>
      </c>
      <c r="G81" s="19">
        <f t="shared" si="7"/>
        <v>0</v>
      </c>
    </row>
    <row r="82" spans="1:9" x14ac:dyDescent="0.25">
      <c r="A82" s="23"/>
      <c r="B82" s="6" t="s">
        <v>277</v>
      </c>
      <c r="C82" s="19">
        <f t="shared" si="8"/>
        <v>0</v>
      </c>
      <c r="D82" s="19">
        <f t="shared" si="6"/>
        <v>0</v>
      </c>
      <c r="E82" s="19">
        <f t="shared" si="5"/>
        <v>0</v>
      </c>
      <c r="F82" s="19">
        <f t="shared" si="4"/>
        <v>0</v>
      </c>
      <c r="G82" s="19">
        <f t="shared" si="7"/>
        <v>0</v>
      </c>
    </row>
    <row r="83" spans="1:9" x14ac:dyDescent="0.25">
      <c r="A83" s="23"/>
      <c r="B83" s="6" t="s">
        <v>278</v>
      </c>
      <c r="C83" s="19">
        <f t="shared" si="8"/>
        <v>0</v>
      </c>
      <c r="D83" s="19">
        <f t="shared" si="6"/>
        <v>0</v>
      </c>
      <c r="E83" s="19">
        <f t="shared" si="5"/>
        <v>0</v>
      </c>
      <c r="F83" s="19">
        <f t="shared" si="4"/>
        <v>0</v>
      </c>
      <c r="G83" s="19">
        <f t="shared" si="7"/>
        <v>0</v>
      </c>
    </row>
    <row r="84" spans="1:9" x14ac:dyDescent="0.25">
      <c r="A84" s="23"/>
      <c r="B84" s="6" t="s">
        <v>279</v>
      </c>
      <c r="C84" s="19">
        <f t="shared" si="8"/>
        <v>0</v>
      </c>
      <c r="D84" s="19">
        <f t="shared" si="6"/>
        <v>0</v>
      </c>
      <c r="E84" s="19">
        <f t="shared" si="5"/>
        <v>0</v>
      </c>
      <c r="F84" s="19">
        <f t="shared" si="4"/>
        <v>0</v>
      </c>
      <c r="G84" s="19">
        <f t="shared" si="7"/>
        <v>0</v>
      </c>
    </row>
    <row r="85" spans="1:9" x14ac:dyDescent="0.25">
      <c r="A85" s="23"/>
      <c r="B85" s="6" t="s">
        <v>280</v>
      </c>
      <c r="C85" s="19">
        <f t="shared" si="8"/>
        <v>0</v>
      </c>
      <c r="D85" s="19">
        <f t="shared" si="6"/>
        <v>0</v>
      </c>
      <c r="E85" s="19">
        <f t="shared" si="5"/>
        <v>0</v>
      </c>
      <c r="F85" s="19">
        <f t="shared" ref="F85:F91" si="9">D85+E85</f>
        <v>0</v>
      </c>
      <c r="G85" s="19">
        <f t="shared" si="7"/>
        <v>0</v>
      </c>
    </row>
    <row r="86" spans="1:9" x14ac:dyDescent="0.25">
      <c r="A86" s="23"/>
      <c r="B86" s="6" t="s">
        <v>281</v>
      </c>
      <c r="C86" s="19">
        <f t="shared" si="8"/>
        <v>0</v>
      </c>
      <c r="D86" s="19">
        <f t="shared" si="6"/>
        <v>0</v>
      </c>
      <c r="E86" s="19">
        <f t="shared" ref="E86:E91" si="10">$E$20</f>
        <v>0</v>
      </c>
      <c r="F86" s="19">
        <f t="shared" si="9"/>
        <v>0</v>
      </c>
      <c r="G86" s="19">
        <f t="shared" si="7"/>
        <v>0</v>
      </c>
    </row>
    <row r="87" spans="1:9" x14ac:dyDescent="0.25">
      <c r="A87" s="23"/>
      <c r="B87" s="6" t="s">
        <v>282</v>
      </c>
      <c r="C87" s="19">
        <f t="shared" si="8"/>
        <v>0</v>
      </c>
      <c r="D87" s="19">
        <f t="shared" si="6"/>
        <v>0</v>
      </c>
      <c r="E87" s="19">
        <f t="shared" si="10"/>
        <v>0</v>
      </c>
      <c r="F87" s="19">
        <f t="shared" si="9"/>
        <v>0</v>
      </c>
      <c r="G87" s="19">
        <f t="shared" si="7"/>
        <v>0</v>
      </c>
    </row>
    <row r="88" spans="1:9" x14ac:dyDescent="0.25">
      <c r="A88" s="23"/>
      <c r="B88" s="6" t="s">
        <v>283</v>
      </c>
      <c r="C88" s="19">
        <f t="shared" si="8"/>
        <v>0</v>
      </c>
      <c r="D88" s="19">
        <f t="shared" si="6"/>
        <v>0</v>
      </c>
      <c r="E88" s="19">
        <f t="shared" si="10"/>
        <v>0</v>
      </c>
      <c r="F88" s="19">
        <f t="shared" si="9"/>
        <v>0</v>
      </c>
      <c r="G88" s="19">
        <f t="shared" si="7"/>
        <v>0</v>
      </c>
    </row>
    <row r="89" spans="1:9" x14ac:dyDescent="0.25">
      <c r="A89" s="23"/>
      <c r="B89" s="6" t="s">
        <v>284</v>
      </c>
      <c r="C89" s="19">
        <f t="shared" si="8"/>
        <v>0</v>
      </c>
      <c r="D89" s="19">
        <f t="shared" si="6"/>
        <v>0</v>
      </c>
      <c r="E89" s="19">
        <f t="shared" si="10"/>
        <v>0</v>
      </c>
      <c r="F89" s="19">
        <f t="shared" si="9"/>
        <v>0</v>
      </c>
      <c r="G89" s="19">
        <f t="shared" si="7"/>
        <v>0</v>
      </c>
    </row>
    <row r="90" spans="1:9" x14ac:dyDescent="0.25">
      <c r="A90" s="23"/>
      <c r="B90" s="6" t="s">
        <v>285</v>
      </c>
      <c r="C90" s="19">
        <f t="shared" si="8"/>
        <v>0</v>
      </c>
      <c r="D90" s="19">
        <f t="shared" si="6"/>
        <v>0</v>
      </c>
      <c r="E90" s="19">
        <f t="shared" si="10"/>
        <v>0</v>
      </c>
      <c r="F90" s="19">
        <f t="shared" si="9"/>
        <v>0</v>
      </c>
      <c r="G90" s="19">
        <f t="shared" si="7"/>
        <v>0</v>
      </c>
    </row>
    <row r="91" spans="1:9" x14ac:dyDescent="0.25">
      <c r="A91" s="23"/>
      <c r="B91" s="6" t="s">
        <v>286</v>
      </c>
      <c r="C91" s="19">
        <f t="shared" si="8"/>
        <v>0</v>
      </c>
      <c r="D91" s="19">
        <f t="shared" si="6"/>
        <v>0</v>
      </c>
      <c r="E91" s="19">
        <f t="shared" si="10"/>
        <v>0</v>
      </c>
      <c r="F91" s="19">
        <f t="shared" si="9"/>
        <v>0</v>
      </c>
      <c r="G91" s="19">
        <f t="shared" si="7"/>
        <v>0</v>
      </c>
      <c r="H91" s="13">
        <f>SUM(D80:D91)</f>
        <v>0</v>
      </c>
      <c r="I91" s="13">
        <f>SUM(E80:E91)</f>
        <v>0</v>
      </c>
    </row>
    <row r="92" spans="1:9" x14ac:dyDescent="0.25">
      <c r="A92" s="23"/>
      <c r="B92" s="23"/>
      <c r="C92" s="23"/>
      <c r="D92" s="23"/>
      <c r="E92" s="23"/>
      <c r="F92" s="23"/>
      <c r="G92" s="23"/>
    </row>
    <row r="93" spans="1:9" x14ac:dyDescent="0.25">
      <c r="A93" s="23"/>
      <c r="B93" s="23"/>
      <c r="C93" s="23"/>
      <c r="D93" s="23"/>
      <c r="E93" s="23"/>
      <c r="F93" s="23"/>
      <c r="G93" s="23"/>
    </row>
    <row r="94" spans="1:9" x14ac:dyDescent="0.25">
      <c r="A94" s="23"/>
      <c r="B94" s="23"/>
      <c r="C94" s="23"/>
      <c r="D94" s="23"/>
      <c r="E94" s="23"/>
      <c r="F94" s="23"/>
      <c r="G94" s="23"/>
    </row>
    <row r="95" spans="1:9" x14ac:dyDescent="0.25">
      <c r="A95" s="23"/>
      <c r="B95" s="23"/>
      <c r="C95" s="23"/>
      <c r="D95" s="23"/>
      <c r="E95" s="23"/>
      <c r="F95" s="23"/>
      <c r="G95" s="23"/>
    </row>
    <row r="96" spans="1:9" x14ac:dyDescent="0.25">
      <c r="A96" s="23"/>
      <c r="B96" s="23"/>
      <c r="C96" s="23"/>
      <c r="D96" s="23"/>
      <c r="E96" s="23"/>
      <c r="F96" s="23"/>
      <c r="G96" s="23"/>
    </row>
    <row r="97" spans="1:7" x14ac:dyDescent="0.25">
      <c r="A97" s="23"/>
      <c r="B97" s="23"/>
      <c r="C97" s="23"/>
      <c r="D97" s="23"/>
      <c r="E97" s="23"/>
      <c r="F97" s="23"/>
      <c r="G97" s="23"/>
    </row>
  </sheetData>
  <mergeCells count="2">
    <mergeCell ref="B1:G1"/>
    <mergeCell ref="B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topLeftCell="A5" zoomScale="85" zoomScaleNormal="100" zoomScaleSheetLayoutView="85" workbookViewId="0">
      <selection activeCell="B11" sqref="B11:K11"/>
    </sheetView>
  </sheetViews>
  <sheetFormatPr defaultColWidth="9.140625" defaultRowHeight="15" x14ac:dyDescent="0.25"/>
  <cols>
    <col min="1" max="1" width="31" style="1" customWidth="1"/>
    <col min="2" max="16384" width="9.140625" style="1"/>
  </cols>
  <sheetData>
    <row r="2" spans="1:15" x14ac:dyDescent="0.25">
      <c r="A2" s="367" t="s">
        <v>517</v>
      </c>
      <c r="B2" s="367"/>
      <c r="C2" s="367"/>
      <c r="D2" s="367"/>
      <c r="E2" s="367"/>
      <c r="F2" s="367"/>
      <c r="G2" s="367"/>
      <c r="H2" s="367"/>
      <c r="I2" s="222"/>
      <c r="J2" s="222"/>
      <c r="K2" s="222"/>
    </row>
    <row r="4" spans="1:15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  <c r="H4" s="46" t="s">
        <v>42</v>
      </c>
      <c r="I4" s="46" t="s">
        <v>495</v>
      </c>
      <c r="J4" s="46" t="s">
        <v>496</v>
      </c>
      <c r="K4" s="46" t="s">
        <v>497</v>
      </c>
    </row>
    <row r="5" spans="1:15" x14ac:dyDescent="0.25">
      <c r="A5" s="233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x14ac:dyDescent="0.25">
      <c r="A6" s="6" t="s">
        <v>348</v>
      </c>
      <c r="B6" s="19">
        <f>'P&amp;L'!B36</f>
        <v>5.5947939062500023</v>
      </c>
      <c r="C6" s="19">
        <f>'P&amp;L'!C36</f>
        <v>9.3441023432813193</v>
      </c>
      <c r="D6" s="19">
        <f>'P&amp;L'!D36</f>
        <v>10.681183563585954</v>
      </c>
      <c r="E6" s="19">
        <f>'P&amp;L'!E36</f>
        <v>13.219957917077755</v>
      </c>
      <c r="F6" s="19">
        <f>'P&amp;L'!F36</f>
        <v>16.693739107009783</v>
      </c>
      <c r="G6" s="19">
        <f>'P&amp;L'!G36</f>
        <v>18.839133723141483</v>
      </c>
      <c r="H6" s="19">
        <f>'P&amp;L'!H36</f>
        <v>22.850009790067368</v>
      </c>
      <c r="I6" s="19">
        <f>'P&amp;L'!I36</f>
        <v>26.322945464102801</v>
      </c>
      <c r="J6" s="19">
        <f>'P&amp;L'!J36</f>
        <v>32.930195883764256</v>
      </c>
      <c r="K6" s="19">
        <f>'P&amp;L'!K36</f>
        <v>37.56277833134763</v>
      </c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x14ac:dyDescent="0.25">
      <c r="A8" s="6" t="s">
        <v>518</v>
      </c>
      <c r="B8" s="374">
        <f>SUM(B6:K6)/10</f>
        <v>19.403884002962833</v>
      </c>
      <c r="C8" s="375"/>
      <c r="D8" s="375"/>
      <c r="E8" s="375"/>
      <c r="F8" s="375"/>
      <c r="G8" s="375"/>
      <c r="H8" s="375"/>
      <c r="I8" s="375"/>
      <c r="J8" s="375"/>
      <c r="K8" s="376"/>
    </row>
    <row r="9" spans="1:15" x14ac:dyDescent="0.25">
      <c r="A9" s="6" t="s">
        <v>519</v>
      </c>
      <c r="B9" s="374">
        <f>'Project Glance'!B23</f>
        <v>105.40111145833333</v>
      </c>
      <c r="C9" s="375"/>
      <c r="D9" s="375"/>
      <c r="E9" s="375"/>
      <c r="F9" s="375"/>
      <c r="G9" s="375"/>
      <c r="H9" s="375"/>
      <c r="I9" s="375"/>
      <c r="J9" s="375"/>
      <c r="K9" s="376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s="3" customFormat="1" x14ac:dyDescent="0.25">
      <c r="A11" s="243" t="s">
        <v>521</v>
      </c>
      <c r="B11" s="377">
        <f>B8/B9*100</f>
        <v>18.409562987040687</v>
      </c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5" hidden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5" hidden="1" x14ac:dyDescent="0.25">
      <c r="A13" s="6" t="s">
        <v>522</v>
      </c>
      <c r="B13" s="374">
        <f>'Project Glance'!B23-'Project Glance'!B20</f>
        <v>44.977811458333335</v>
      </c>
      <c r="C13" s="375"/>
      <c r="D13" s="375"/>
      <c r="E13" s="375"/>
      <c r="F13" s="375"/>
      <c r="G13" s="375"/>
      <c r="H13" s="375"/>
      <c r="I13" s="375"/>
      <c r="J13" s="375"/>
      <c r="K13" s="376"/>
    </row>
    <row r="14" spans="1:15" hidden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5" s="3" customFormat="1" hidden="1" x14ac:dyDescent="0.25">
      <c r="A15" s="243" t="s">
        <v>523</v>
      </c>
      <c r="B15" s="377">
        <f>(B8/B13)*100</f>
        <v>43.141014144136946</v>
      </c>
      <c r="C15" s="378"/>
      <c r="D15" s="378"/>
      <c r="E15" s="378"/>
      <c r="F15" s="378"/>
      <c r="G15" s="378"/>
      <c r="H15" s="378"/>
      <c r="I15" s="378"/>
      <c r="J15" s="378"/>
      <c r="K15" s="379"/>
    </row>
    <row r="16" spans="1:1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M16" s="13">
        <f>B9</f>
        <v>105.40111145833333</v>
      </c>
      <c r="O16" s="13">
        <f>B13</f>
        <v>44.977811458333335</v>
      </c>
    </row>
    <row r="17" spans="1:15" s="3" customFormat="1" x14ac:dyDescent="0.25">
      <c r="A17" s="198" t="s">
        <v>524</v>
      </c>
      <c r="B17" s="371" t="s">
        <v>753</v>
      </c>
      <c r="C17" s="372"/>
      <c r="D17" s="372"/>
      <c r="E17" s="372"/>
      <c r="F17" s="372"/>
      <c r="G17" s="372"/>
      <c r="H17" s="372"/>
      <c r="I17" s="372"/>
      <c r="J17" s="372"/>
      <c r="K17" s="373"/>
      <c r="M17" s="234">
        <f>SUM(B6:H6)</f>
        <v>97.222920350413659</v>
      </c>
      <c r="O17" s="234">
        <f>SUM(B6:E6)</f>
        <v>38.840037730195029</v>
      </c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13">
        <f>M16-M17</f>
        <v>8.1781911079196732</v>
      </c>
      <c r="O18" s="13">
        <f>O16-O17</f>
        <v>6.1377737281383062</v>
      </c>
    </row>
    <row r="19" spans="1:15" x14ac:dyDescent="0.25">
      <c r="A19" s="198" t="s">
        <v>525</v>
      </c>
      <c r="B19" s="371" t="s">
        <v>752</v>
      </c>
      <c r="C19" s="372"/>
      <c r="D19" s="372"/>
      <c r="E19" s="372"/>
      <c r="F19" s="372"/>
      <c r="G19" s="372"/>
      <c r="H19" s="372"/>
      <c r="I19" s="372"/>
      <c r="J19" s="372"/>
      <c r="K19" s="373"/>
      <c r="M19" s="1">
        <f>M18*12/I6</f>
        <v>3.7282413333595019</v>
      </c>
      <c r="O19" s="1">
        <f>O18*12/F6</f>
        <v>4.4120304184418639</v>
      </c>
    </row>
    <row r="21" spans="1:15" x14ac:dyDescent="0.25">
      <c r="M21" s="1" t="s">
        <v>595</v>
      </c>
      <c r="O21" s="1" t="s">
        <v>594</v>
      </c>
    </row>
  </sheetData>
  <mergeCells count="8">
    <mergeCell ref="B17:K17"/>
    <mergeCell ref="B19:K19"/>
    <mergeCell ref="A2:H2"/>
    <mergeCell ref="B8:K8"/>
    <mergeCell ref="B9:K9"/>
    <mergeCell ref="B11:K11"/>
    <mergeCell ref="B13:K13"/>
    <mergeCell ref="B15:K15"/>
  </mergeCells>
  <pageMargins left="0.7" right="0.7" top="0.75" bottom="0.75" header="0.3" footer="0.3"/>
  <pageSetup scale="73" orientation="portrait" r:id="rId1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topLeftCell="A20" zoomScale="85" zoomScaleNormal="100" zoomScaleSheetLayoutView="85" workbookViewId="0">
      <selection activeCell="A4" sqref="A4:K21"/>
    </sheetView>
  </sheetViews>
  <sheetFormatPr defaultColWidth="9.140625" defaultRowHeight="15" x14ac:dyDescent="0.25"/>
  <cols>
    <col min="1" max="1" width="38.42578125" style="1" customWidth="1"/>
    <col min="2" max="2" width="11.85546875" style="1" bestFit="1" customWidth="1"/>
    <col min="3" max="11" width="6.85546875" style="1" bestFit="1" customWidth="1"/>
    <col min="12" max="16384" width="9.140625" style="1"/>
  </cols>
  <sheetData>
    <row r="2" spans="1:11" x14ac:dyDescent="0.25">
      <c r="A2" s="367" t="s">
        <v>507</v>
      </c>
      <c r="B2" s="367"/>
      <c r="C2" s="367"/>
      <c r="D2" s="367"/>
      <c r="E2" s="367"/>
      <c r="F2" s="367"/>
      <c r="G2" s="367"/>
      <c r="H2" s="367"/>
    </row>
    <row r="4" spans="1:11" x14ac:dyDescent="0.25">
      <c r="A4" s="15" t="s">
        <v>494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  <c r="I4" s="15" t="s">
        <v>495</v>
      </c>
      <c r="J4" s="15" t="s">
        <v>496</v>
      </c>
      <c r="K4" s="15" t="s">
        <v>497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 t="s">
        <v>498</v>
      </c>
      <c r="B6" s="231">
        <f>'P&amp;L'!B36</f>
        <v>5.5947939062500023</v>
      </c>
      <c r="C6" s="231">
        <f>'P&amp;L'!C36</f>
        <v>9.3441023432813193</v>
      </c>
      <c r="D6" s="231">
        <f>'P&amp;L'!D36</f>
        <v>10.681183563585954</v>
      </c>
      <c r="E6" s="231">
        <f>'P&amp;L'!E36</f>
        <v>13.219957917077755</v>
      </c>
      <c r="F6" s="231">
        <f>'P&amp;L'!F36</f>
        <v>16.693739107009783</v>
      </c>
      <c r="G6" s="231">
        <f>'P&amp;L'!G36</f>
        <v>18.839133723141483</v>
      </c>
      <c r="H6" s="231">
        <f>'P&amp;L'!H36</f>
        <v>22.850009790067368</v>
      </c>
      <c r="I6" s="231">
        <f>'P&amp;L'!I36</f>
        <v>26.322945464102801</v>
      </c>
      <c r="J6" s="231">
        <f>'P&amp;L'!J36</f>
        <v>32.930195883764256</v>
      </c>
      <c r="K6" s="231">
        <f>'P&amp;L'!K36</f>
        <v>37.56277833134763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 t="s">
        <v>508</v>
      </c>
      <c r="B8" s="231">
        <f>'P&amp;L'!B32</f>
        <v>4.7021909999999991</v>
      </c>
      <c r="C8" s="231">
        <f>'P&amp;L'!C32</f>
        <v>4.7021909999999991</v>
      </c>
      <c r="D8" s="231">
        <f>'P&amp;L'!D32</f>
        <v>4.7021909999999991</v>
      </c>
      <c r="E8" s="231">
        <f>'P&amp;L'!E32</f>
        <v>4.7021909999999991</v>
      </c>
      <c r="F8" s="231">
        <f>'P&amp;L'!F32</f>
        <v>4.7021909999999991</v>
      </c>
      <c r="G8" s="231">
        <f>'P&amp;L'!G32</f>
        <v>4.7021909999999991</v>
      </c>
      <c r="H8" s="231">
        <f>'P&amp;L'!H32</f>
        <v>4.7021909999999991</v>
      </c>
      <c r="I8" s="231">
        <f>'P&amp;L'!I32</f>
        <v>4.7021909999999991</v>
      </c>
      <c r="J8" s="231">
        <f>'P&amp;L'!J32</f>
        <v>4.7021909999999991</v>
      </c>
      <c r="K8" s="231">
        <f>'P&amp;L'!K32</f>
        <v>4.7021909999999991</v>
      </c>
    </row>
    <row r="9" spans="1:11" x14ac:dyDescent="0.25">
      <c r="A9" s="10" t="s">
        <v>509</v>
      </c>
      <c r="B9" s="231">
        <f>'P&amp;L'!B27</f>
        <v>0.47954999999999998</v>
      </c>
      <c r="C9" s="231">
        <f>'P&amp;L'!C27</f>
        <v>0.47954999999999998</v>
      </c>
      <c r="D9" s="231">
        <f>'P&amp;L'!D27</f>
        <v>0.47954999999999998</v>
      </c>
      <c r="E9" s="231">
        <f>'P&amp;L'!E27</f>
        <v>0.47954999999999998</v>
      </c>
      <c r="F9" s="231">
        <f>'P&amp;L'!F27</f>
        <v>0.47954999999999998</v>
      </c>
      <c r="G9" s="231">
        <f>'P&amp;L'!G27</f>
        <v>0.47954999999999998</v>
      </c>
      <c r="H9" s="231">
        <f>'P&amp;L'!H27</f>
        <v>0.47954999999999998</v>
      </c>
      <c r="I9" s="231">
        <f>'P&amp;L'!I27</f>
        <v>0.47954999999999998</v>
      </c>
      <c r="J9" s="231">
        <f>'P&amp;L'!J27</f>
        <v>0.47954999999999998</v>
      </c>
      <c r="K9" s="231">
        <f>'P&amp;L'!K27</f>
        <v>0.47954999999999998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 t="s">
        <v>500</v>
      </c>
      <c r="B11" s="231">
        <f>SUM(B6:B9)</f>
        <v>10.776534906250001</v>
      </c>
      <c r="C11" s="231">
        <f t="shared" ref="C11:K11" si="0">SUM(C6:C9)</f>
        <v>14.525843343281318</v>
      </c>
      <c r="D11" s="231">
        <f t="shared" si="0"/>
        <v>15.862924563585953</v>
      </c>
      <c r="E11" s="231">
        <f t="shared" si="0"/>
        <v>18.401698917077756</v>
      </c>
      <c r="F11" s="231">
        <f t="shared" si="0"/>
        <v>21.875480107009782</v>
      </c>
      <c r="G11" s="231">
        <f t="shared" si="0"/>
        <v>24.020874723141482</v>
      </c>
      <c r="H11" s="231">
        <f t="shared" si="0"/>
        <v>28.031750790067367</v>
      </c>
      <c r="I11" s="231">
        <f t="shared" si="0"/>
        <v>31.5046864641028</v>
      </c>
      <c r="J11" s="231">
        <f t="shared" si="0"/>
        <v>38.111936883764258</v>
      </c>
      <c r="K11" s="231">
        <f t="shared" si="0"/>
        <v>42.744519331347632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36" t="s">
        <v>510</v>
      </c>
      <c r="B13" s="19">
        <f>1/1.1</f>
        <v>0.90909090909090906</v>
      </c>
      <c r="C13" s="19">
        <f t="shared" ref="C13:H13" si="1">B13/1.1</f>
        <v>0.82644628099173545</v>
      </c>
      <c r="D13" s="19">
        <f t="shared" si="1"/>
        <v>0.75131480090157765</v>
      </c>
      <c r="E13" s="19">
        <f t="shared" si="1"/>
        <v>0.68301345536507052</v>
      </c>
      <c r="F13" s="19">
        <f t="shared" si="1"/>
        <v>0.62092132305915493</v>
      </c>
      <c r="G13" s="19">
        <f t="shared" si="1"/>
        <v>0.56447393005377711</v>
      </c>
      <c r="H13" s="19">
        <f t="shared" si="1"/>
        <v>0.51315811823070645</v>
      </c>
      <c r="I13" s="19">
        <f t="shared" ref="I13" si="2">H13/1.1</f>
        <v>0.46650738020973309</v>
      </c>
      <c r="J13" s="19">
        <f t="shared" ref="J13" si="3">I13/1.1</f>
        <v>0.42409761837248461</v>
      </c>
      <c r="K13" s="19">
        <f t="shared" ref="K13" si="4">J13/1.1</f>
        <v>0.38554328942953142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36" t="s">
        <v>511</v>
      </c>
      <c r="B15" s="19">
        <f>B11*B13</f>
        <v>9.7968499147727286</v>
      </c>
      <c r="C15" s="19">
        <f t="shared" ref="C15:K15" si="5">C11*C13</f>
        <v>12.004829209323402</v>
      </c>
      <c r="D15" s="19">
        <f t="shared" si="5"/>
        <v>11.918050010207326</v>
      </c>
      <c r="E15" s="19">
        <f t="shared" si="5"/>
        <v>12.568607961940954</v>
      </c>
      <c r="F15" s="19">
        <f t="shared" si="5"/>
        <v>13.582952050598738</v>
      </c>
      <c r="G15" s="19">
        <f t="shared" si="5"/>
        <v>13.559157558301107</v>
      </c>
      <c r="H15" s="19">
        <f t="shared" si="5"/>
        <v>14.384720486143088</v>
      </c>
      <c r="I15" s="19">
        <f t="shared" si="5"/>
        <v>14.697168746697637</v>
      </c>
      <c r="J15" s="19">
        <f t="shared" si="5"/>
        <v>16.163181663966874</v>
      </c>
      <c r="K15" s="19">
        <f t="shared" si="5"/>
        <v>16.479862588091962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36" t="s">
        <v>512</v>
      </c>
      <c r="B17" s="19">
        <f>SUM(B15:K15)</f>
        <v>135.15538019004384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36" t="s">
        <v>513</v>
      </c>
      <c r="B19" s="45">
        <f>'Project Glance'!B15</f>
        <v>105.40111145833333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135" t="s">
        <v>515</v>
      </c>
      <c r="B21" s="200">
        <f>B17-B19</f>
        <v>29.754268731710511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36" t="s">
        <v>516</v>
      </c>
      <c r="B23" s="45">
        <f>'Project Glance'!B23-'Project Glance'!B20</f>
        <v>44.977811458333335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135" t="s">
        <v>514</v>
      </c>
      <c r="B25" s="200">
        <f>B17-B23</f>
        <v>90.177568731710508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/>
      <c r="B26"/>
      <c r="C26"/>
      <c r="D26"/>
      <c r="E26"/>
      <c r="F26"/>
      <c r="G26"/>
      <c r="H26"/>
    </row>
    <row r="27" spans="1:11" x14ac:dyDescent="0.25">
      <c r="A27"/>
      <c r="B27"/>
      <c r="C27"/>
      <c r="D27"/>
      <c r="E27"/>
      <c r="F27"/>
      <c r="G27"/>
      <c r="H27"/>
    </row>
    <row r="28" spans="1:11" x14ac:dyDescent="0.25">
      <c r="A28"/>
      <c r="B28"/>
      <c r="C28"/>
      <c r="D28"/>
      <c r="E28"/>
      <c r="F28"/>
      <c r="G28"/>
      <c r="H28"/>
    </row>
    <row r="29" spans="1:11" x14ac:dyDescent="0.25">
      <c r="A29"/>
      <c r="B29"/>
      <c r="C29"/>
      <c r="D29"/>
      <c r="E29"/>
      <c r="F29"/>
      <c r="G29"/>
      <c r="H29"/>
    </row>
    <row r="30" spans="1:11" x14ac:dyDescent="0.25">
      <c r="A30"/>
      <c r="B30"/>
      <c r="C30"/>
      <c r="D30"/>
      <c r="E30"/>
      <c r="F30"/>
      <c r="G30"/>
      <c r="H30"/>
    </row>
    <row r="31" spans="1:11" x14ac:dyDescent="0.25">
      <c r="A31"/>
      <c r="B31"/>
      <c r="C31"/>
      <c r="D31"/>
      <c r="E31"/>
      <c r="F31"/>
      <c r="G31"/>
      <c r="H31"/>
    </row>
  </sheetData>
  <mergeCells count="1">
    <mergeCell ref="A2:H2"/>
  </mergeCells>
  <pageMargins left="0.7" right="0.7" top="0.75" bottom="0.75" header="0.3" footer="0.3"/>
  <pageSetup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topLeftCell="A18" zoomScale="85" zoomScaleNormal="80" zoomScaleSheetLayoutView="85" workbookViewId="0">
      <selection activeCell="A3" sqref="A3:K19"/>
    </sheetView>
  </sheetViews>
  <sheetFormatPr defaultColWidth="9.140625" defaultRowHeight="15" x14ac:dyDescent="0.25"/>
  <cols>
    <col min="1" max="1" width="25.7109375" style="1" customWidth="1"/>
    <col min="2" max="2" width="11.140625" style="1" customWidth="1"/>
    <col min="3" max="3" width="11.28515625" style="1" customWidth="1"/>
    <col min="4" max="4" width="10.7109375" style="1" customWidth="1"/>
    <col min="5" max="5" width="11.42578125" style="1" customWidth="1"/>
    <col min="6" max="6" width="11.7109375" style="1" customWidth="1"/>
    <col min="7" max="7" width="10.28515625" style="1" customWidth="1"/>
    <col min="8" max="11" width="11.140625" style="1" customWidth="1"/>
    <col min="12" max="16384" width="9.140625" style="1"/>
  </cols>
  <sheetData>
    <row r="1" spans="1:13" x14ac:dyDescent="0.25">
      <c r="A1" s="380" t="s">
        <v>493</v>
      </c>
      <c r="B1" s="380"/>
      <c r="C1" s="380"/>
      <c r="D1" s="380"/>
      <c r="E1" s="380"/>
      <c r="F1" s="380"/>
      <c r="G1" s="380"/>
      <c r="H1" s="380"/>
      <c r="I1" s="236"/>
      <c r="J1" s="236"/>
      <c r="K1" s="236"/>
    </row>
    <row r="2" spans="1:13" x14ac:dyDescent="0.25">
      <c r="A2" s="224"/>
      <c r="B2" s="224"/>
      <c r="C2" s="224"/>
      <c r="D2" s="224"/>
      <c r="E2" s="224"/>
      <c r="F2" s="224"/>
      <c r="G2" s="224"/>
    </row>
    <row r="3" spans="1:13" x14ac:dyDescent="0.25">
      <c r="A3" s="244" t="s">
        <v>494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  <c r="G3" s="46" t="s">
        <v>41</v>
      </c>
      <c r="H3" s="46" t="s">
        <v>42</v>
      </c>
      <c r="I3" s="46" t="s">
        <v>495</v>
      </c>
      <c r="J3" s="46" t="s">
        <v>496</v>
      </c>
      <c r="K3" s="46" t="s">
        <v>497</v>
      </c>
    </row>
    <row r="4" spans="1:13" x14ac:dyDescent="0.25">
      <c r="A4" s="226"/>
      <c r="B4" s="226"/>
      <c r="C4" s="226"/>
      <c r="D4" s="226"/>
      <c r="E4" s="226"/>
      <c r="F4" s="226"/>
      <c r="G4" s="226"/>
      <c r="H4" s="6"/>
      <c r="I4" s="6"/>
      <c r="J4" s="6"/>
      <c r="K4" s="6"/>
    </row>
    <row r="5" spans="1:13" x14ac:dyDescent="0.25">
      <c r="A5" s="226" t="s">
        <v>498</v>
      </c>
      <c r="B5" s="227">
        <f>'P&amp;L'!B36</f>
        <v>5.5947939062500023</v>
      </c>
      <c r="C5" s="227">
        <f>'P&amp;L'!C36</f>
        <v>9.3441023432813193</v>
      </c>
      <c r="D5" s="227">
        <f>'P&amp;L'!D36</f>
        <v>10.681183563585954</v>
      </c>
      <c r="E5" s="227">
        <f>'P&amp;L'!E36</f>
        <v>13.219957917077755</v>
      </c>
      <c r="F5" s="227">
        <f>'P&amp;L'!F36</f>
        <v>16.693739107009783</v>
      </c>
      <c r="G5" s="227">
        <f>'P&amp;L'!G36</f>
        <v>18.839133723141483</v>
      </c>
      <c r="H5" s="227">
        <f>'P&amp;L'!H36</f>
        <v>22.850009790067368</v>
      </c>
      <c r="I5" s="227">
        <f>'P&amp;L'!I36</f>
        <v>26.322945464102801</v>
      </c>
      <c r="J5" s="227">
        <f>'P&amp;L'!J36</f>
        <v>32.930195883764256</v>
      </c>
      <c r="K5" s="227">
        <f>'P&amp;L'!K36</f>
        <v>37.56277833134763</v>
      </c>
      <c r="L5" s="225"/>
    </row>
    <row r="6" spans="1:13" x14ac:dyDescent="0.25">
      <c r="A6" s="226"/>
      <c r="B6" s="227"/>
      <c r="C6" s="227"/>
      <c r="D6" s="227"/>
      <c r="E6" s="227"/>
      <c r="F6" s="227"/>
      <c r="G6" s="226"/>
      <c r="H6" s="6"/>
      <c r="I6" s="6"/>
      <c r="J6" s="6"/>
      <c r="K6" s="6"/>
    </row>
    <row r="7" spans="1:13" x14ac:dyDescent="0.25">
      <c r="A7" s="228" t="s">
        <v>506</v>
      </c>
      <c r="B7" s="227">
        <f>'P&amp;L'!B32</f>
        <v>4.7021909999999991</v>
      </c>
      <c r="C7" s="227">
        <f>'P&amp;L'!C32</f>
        <v>4.7021909999999991</v>
      </c>
      <c r="D7" s="227">
        <f>'P&amp;L'!D32</f>
        <v>4.7021909999999991</v>
      </c>
      <c r="E7" s="227">
        <f>'P&amp;L'!E32</f>
        <v>4.7021909999999991</v>
      </c>
      <c r="F7" s="227">
        <f>'P&amp;L'!F32</f>
        <v>4.7021909999999991</v>
      </c>
      <c r="G7" s="227">
        <f>'P&amp;L'!G32</f>
        <v>4.7021909999999991</v>
      </c>
      <c r="H7" s="227">
        <f>'P&amp;L'!H32</f>
        <v>4.7021909999999991</v>
      </c>
      <c r="I7" s="227">
        <f>'P&amp;L'!I32</f>
        <v>4.7021909999999991</v>
      </c>
      <c r="J7" s="227">
        <f>'P&amp;L'!J32</f>
        <v>4.7021909999999991</v>
      </c>
      <c r="K7" s="227">
        <f>'P&amp;L'!K32</f>
        <v>4.7021909999999991</v>
      </c>
    </row>
    <row r="8" spans="1:13" x14ac:dyDescent="0.25">
      <c r="A8" s="226" t="s">
        <v>499</v>
      </c>
      <c r="B8" s="229">
        <f>'P&amp;L'!B27</f>
        <v>0.47954999999999998</v>
      </c>
      <c r="C8" s="229">
        <f>'P&amp;L'!C27</f>
        <v>0.47954999999999998</v>
      </c>
      <c r="D8" s="229">
        <f>'P&amp;L'!D27</f>
        <v>0.47954999999999998</v>
      </c>
      <c r="E8" s="229">
        <f>'P&amp;L'!E27</f>
        <v>0.47954999999999998</v>
      </c>
      <c r="F8" s="229">
        <f>'P&amp;L'!F27</f>
        <v>0.47954999999999998</v>
      </c>
      <c r="G8" s="229">
        <f>'P&amp;L'!G27</f>
        <v>0.47954999999999998</v>
      </c>
      <c r="H8" s="229">
        <f>'P&amp;L'!H27</f>
        <v>0.47954999999999998</v>
      </c>
      <c r="I8" s="229">
        <f>'P&amp;L'!I27</f>
        <v>0.47954999999999998</v>
      </c>
      <c r="J8" s="229">
        <f>'P&amp;L'!J27</f>
        <v>0.47954999999999998</v>
      </c>
      <c r="K8" s="229">
        <f>'P&amp;L'!K27</f>
        <v>0.47954999999999998</v>
      </c>
    </row>
    <row r="9" spans="1:13" x14ac:dyDescent="0.25">
      <c r="A9" s="226"/>
      <c r="B9" s="226"/>
      <c r="C9" s="226"/>
      <c r="D9" s="226"/>
      <c r="E9" s="226"/>
      <c r="F9" s="226"/>
      <c r="G9" s="226"/>
      <c r="H9" s="6"/>
      <c r="I9" s="6"/>
      <c r="J9" s="6"/>
      <c r="K9" s="6"/>
    </row>
    <row r="10" spans="1:13" x14ac:dyDescent="0.25">
      <c r="A10" s="226" t="s">
        <v>500</v>
      </c>
      <c r="B10" s="227">
        <f>SUM(B5:B8)</f>
        <v>10.776534906250001</v>
      </c>
      <c r="C10" s="227">
        <f t="shared" ref="C10:K10" si="0">SUM(C5:C8)</f>
        <v>14.525843343281318</v>
      </c>
      <c r="D10" s="227">
        <f t="shared" si="0"/>
        <v>15.862924563585953</v>
      </c>
      <c r="E10" s="227">
        <f t="shared" si="0"/>
        <v>18.401698917077756</v>
      </c>
      <c r="F10" s="227">
        <f t="shared" si="0"/>
        <v>21.875480107009782</v>
      </c>
      <c r="G10" s="227">
        <f t="shared" si="0"/>
        <v>24.020874723141482</v>
      </c>
      <c r="H10" s="227">
        <f t="shared" si="0"/>
        <v>28.031750790067367</v>
      </c>
      <c r="I10" s="227">
        <f t="shared" si="0"/>
        <v>31.5046864641028</v>
      </c>
      <c r="J10" s="227">
        <f t="shared" si="0"/>
        <v>38.111936883764258</v>
      </c>
      <c r="K10" s="227">
        <f t="shared" si="0"/>
        <v>42.744519331347632</v>
      </c>
    </row>
    <row r="11" spans="1:13" x14ac:dyDescent="0.25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</row>
    <row r="12" spans="1:13" x14ac:dyDescent="0.25">
      <c r="A12" s="230" t="s">
        <v>754</v>
      </c>
      <c r="B12" s="72">
        <f>1/M12</f>
        <v>0.87045080647267215</v>
      </c>
      <c r="C12" s="231">
        <f t="shared" ref="C12:H12" si="1">B12/$M$12</f>
        <v>0.75768460648892533</v>
      </c>
      <c r="D12" s="231">
        <f t="shared" si="1"/>
        <v>0.65952717677021433</v>
      </c>
      <c r="E12" s="231">
        <f t="shared" si="1"/>
        <v>0.57408596291027769</v>
      </c>
      <c r="F12" s="231">
        <f t="shared" si="1"/>
        <v>0.4997135893998918</v>
      </c>
      <c r="G12" s="231">
        <f t="shared" si="1"/>
        <v>0.43497609689848959</v>
      </c>
      <c r="H12" s="231">
        <f t="shared" si="1"/>
        <v>0.37862529434162545</v>
      </c>
      <c r="I12" s="231">
        <f t="shared" ref="I12:K12" si="2">H12/$M$12</f>
        <v>0.32957469281062074</v>
      </c>
      <c r="J12" s="231">
        <f t="shared" si="2"/>
        <v>0.286878557149988</v>
      </c>
      <c r="K12" s="231">
        <f t="shared" si="2"/>
        <v>0.24971367143092363</v>
      </c>
      <c r="M12" s="1">
        <v>1.14883</v>
      </c>
    </row>
    <row r="13" spans="1:13" x14ac:dyDescent="0.25">
      <c r="A13" s="226" t="s">
        <v>501</v>
      </c>
      <c r="B13" s="227">
        <f t="shared" ref="B13:H13" si="3">B10*B12</f>
        <v>9.3804435001262156</v>
      </c>
      <c r="C13" s="227">
        <f t="shared" si="3"/>
        <v>11.00600789747388</v>
      </c>
      <c r="D13" s="227">
        <f t="shared" si="3"/>
        <v>10.462029852740727</v>
      </c>
      <c r="E13" s="227">
        <f>E10*E12</f>
        <v>10.564157041995598</v>
      </c>
      <c r="F13" s="227">
        <f t="shared" si="3"/>
        <v>10.931474684119788</v>
      </c>
      <c r="G13" s="227">
        <f t="shared" si="3"/>
        <v>10.448506331159669</v>
      </c>
      <c r="H13" s="227">
        <f t="shared" si="3"/>
        <v>10.613529893800349</v>
      </c>
      <c r="I13" s="227">
        <f t="shared" ref="I13:K13" si="4">I10*I12</f>
        <v>10.383147363501601</v>
      </c>
      <c r="J13" s="227">
        <f t="shared" si="4"/>
        <v>10.933497463405701</v>
      </c>
      <c r="K13" s="227">
        <f t="shared" si="4"/>
        <v>10.673890855780906</v>
      </c>
    </row>
    <row r="14" spans="1:13" x14ac:dyDescent="0.25">
      <c r="A14" s="226" t="s">
        <v>502</v>
      </c>
      <c r="B14" s="381">
        <f>SUM(B13:K13)</f>
        <v>105.39668488410446</v>
      </c>
      <c r="C14" s="382"/>
      <c r="D14" s="382"/>
      <c r="E14" s="382"/>
      <c r="F14" s="382"/>
      <c r="G14" s="382"/>
      <c r="H14" s="382"/>
      <c r="I14" s="382"/>
      <c r="J14" s="382"/>
      <c r="K14" s="383"/>
    </row>
    <row r="15" spans="1:13" x14ac:dyDescent="0.25">
      <c r="A15" s="226"/>
      <c r="B15" s="227"/>
      <c r="C15" s="227"/>
      <c r="D15" s="227"/>
      <c r="E15" s="227"/>
      <c r="F15" s="227"/>
      <c r="G15" s="226"/>
      <c r="H15" s="6"/>
      <c r="I15" s="6"/>
      <c r="J15" s="6"/>
      <c r="K15" s="6"/>
    </row>
    <row r="16" spans="1:13" x14ac:dyDescent="0.25">
      <c r="A16" s="226" t="s">
        <v>503</v>
      </c>
      <c r="B16" s="381">
        <f>'Project Glance'!B15</f>
        <v>105.40111145833333</v>
      </c>
      <c r="C16" s="382"/>
      <c r="D16" s="382"/>
      <c r="E16" s="382"/>
      <c r="F16" s="382"/>
      <c r="G16" s="382"/>
      <c r="H16" s="382"/>
      <c r="I16" s="382"/>
      <c r="J16" s="382"/>
      <c r="K16" s="383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3" x14ac:dyDescent="0.25">
      <c r="A19" s="198" t="s">
        <v>504</v>
      </c>
      <c r="B19" s="285">
        <f>(M12*100)-100</f>
        <v>14.882999999999996</v>
      </c>
      <c r="C19" s="6"/>
      <c r="D19" s="6"/>
      <c r="E19" s="6"/>
      <c r="F19" s="6"/>
      <c r="G19" s="6"/>
      <c r="H19" s="6"/>
      <c r="I19" s="6"/>
      <c r="J19" s="6"/>
      <c r="K19" s="6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3" x14ac:dyDescent="0.25">
      <c r="A22" s="230" t="s">
        <v>751</v>
      </c>
      <c r="B22" s="72">
        <f>1/M22</f>
        <v>0.69339952987511877</v>
      </c>
      <c r="C22" s="231">
        <f t="shared" ref="C22:H22" si="5">B22/$M$22</f>
        <v>0.4808029080310357</v>
      </c>
      <c r="D22" s="231">
        <f t="shared" si="5"/>
        <v>0.33338851039131012</v>
      </c>
      <c r="E22" s="231">
        <f t="shared" si="5"/>
        <v>0.23117143637110057</v>
      </c>
      <c r="F22" s="231">
        <f t="shared" si="5"/>
        <v>0.16029416530027707</v>
      </c>
      <c r="G22" s="231">
        <f t="shared" si="5"/>
        <v>0.11114789886093669</v>
      </c>
      <c r="H22" s="231">
        <f t="shared" si="5"/>
        <v>7.7069900816780751E-2</v>
      </c>
      <c r="I22" s="231">
        <f t="shared" ref="I22:K22" si="6">H22/$M$22</f>
        <v>5.3440232993877804E-2</v>
      </c>
      <c r="J22" s="231">
        <f t="shared" si="6"/>
        <v>3.7055432434371677E-2</v>
      </c>
      <c r="K22" s="231">
        <f t="shared" si="6"/>
        <v>2.5694219429312548E-2</v>
      </c>
      <c r="M22" s="1">
        <v>1.44217</v>
      </c>
    </row>
    <row r="23" spans="1:13" x14ac:dyDescent="0.25">
      <c r="A23" s="226" t="s">
        <v>501</v>
      </c>
      <c r="B23" s="227">
        <f>ROUND(B10*B22,2)</f>
        <v>7.47</v>
      </c>
      <c r="C23" s="227">
        <f t="shared" ref="C23:H23" si="7">ROUND(C10*C22,2)</f>
        <v>6.98</v>
      </c>
      <c r="D23" s="227">
        <f t="shared" si="7"/>
        <v>5.29</v>
      </c>
      <c r="E23" s="227">
        <f t="shared" si="7"/>
        <v>4.25</v>
      </c>
      <c r="F23" s="227">
        <f t="shared" si="7"/>
        <v>3.51</v>
      </c>
      <c r="G23" s="227">
        <f t="shared" si="7"/>
        <v>2.67</v>
      </c>
      <c r="H23" s="227">
        <f t="shared" si="7"/>
        <v>2.16</v>
      </c>
      <c r="I23" s="227">
        <f t="shared" ref="I23:K23" si="8">ROUND(I10*I22,2)</f>
        <v>1.68</v>
      </c>
      <c r="J23" s="227">
        <f t="shared" si="8"/>
        <v>1.41</v>
      </c>
      <c r="K23" s="227">
        <f t="shared" si="8"/>
        <v>1.1000000000000001</v>
      </c>
    </row>
    <row r="24" spans="1:13" x14ac:dyDescent="0.25">
      <c r="A24" s="226" t="s">
        <v>502</v>
      </c>
      <c r="B24" s="381">
        <f>SUM(B23:K23)</f>
        <v>36.519999999999996</v>
      </c>
      <c r="C24" s="382"/>
      <c r="D24" s="382"/>
      <c r="E24" s="382"/>
      <c r="F24" s="382"/>
      <c r="G24" s="382"/>
      <c r="H24" s="382"/>
      <c r="I24" s="382"/>
      <c r="J24" s="382"/>
      <c r="K24" s="383"/>
    </row>
    <row r="25" spans="1:13" x14ac:dyDescent="0.25">
      <c r="A25" s="226"/>
      <c r="B25" s="227"/>
      <c r="C25" s="227"/>
      <c r="D25" s="227"/>
      <c r="E25" s="227"/>
      <c r="F25" s="227"/>
      <c r="G25" s="226"/>
      <c r="H25" s="6"/>
      <c r="I25" s="6"/>
      <c r="J25" s="6"/>
      <c r="K25" s="6"/>
    </row>
    <row r="26" spans="1:13" x14ac:dyDescent="0.25">
      <c r="A26" s="226" t="s">
        <v>520</v>
      </c>
      <c r="B26" s="381">
        <f>'Project Glance'!B23-'Project Glance'!B20</f>
        <v>44.977811458333335</v>
      </c>
      <c r="C26" s="382"/>
      <c r="D26" s="382"/>
      <c r="E26" s="382"/>
      <c r="F26" s="382"/>
      <c r="G26" s="382"/>
      <c r="H26" s="382"/>
      <c r="I26" s="382"/>
      <c r="J26" s="382"/>
      <c r="K26" s="383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198" t="s">
        <v>505</v>
      </c>
      <c r="B28" s="198">
        <f>ROUND(M22*100,2)-100</f>
        <v>44.22</v>
      </c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A1:H1"/>
    <mergeCell ref="B14:K14"/>
    <mergeCell ref="B16:K16"/>
    <mergeCell ref="B24:K24"/>
    <mergeCell ref="B26:K26"/>
  </mergeCells>
  <pageMargins left="0.7" right="0.7" top="0.75" bottom="0.75" header="0.3" footer="0.3"/>
  <pageSetup scale="62" orientation="portrait" r:id="rId1"/>
  <colBreaks count="1" manualBreakCount="1">
    <brk id="11" max="1048575" man="1"/>
  </colBreaks>
  <cellWatches>
    <cellWatch r="B14"/>
    <cellWatch r="B16"/>
  </cellWatch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BreakPreview" zoomScale="60" zoomScaleNormal="100" workbookViewId="0">
      <selection activeCell="L19" sqref="L19"/>
    </sheetView>
  </sheetViews>
  <sheetFormatPr defaultColWidth="9.140625" defaultRowHeight="15" x14ac:dyDescent="0.25"/>
  <cols>
    <col min="1" max="1" width="36.85546875" style="1" customWidth="1"/>
    <col min="2" max="2" width="11" style="1" customWidth="1"/>
    <col min="3" max="3" width="10.85546875" style="1" customWidth="1"/>
    <col min="4" max="4" width="11" style="1" customWidth="1"/>
    <col min="5" max="5" width="12.42578125" style="1" customWidth="1"/>
    <col min="6" max="6" width="11.5703125" style="1" customWidth="1"/>
    <col min="7" max="16384" width="9.140625" style="1"/>
  </cols>
  <sheetData>
    <row r="2" spans="1:7" x14ac:dyDescent="0.25">
      <c r="A2" s="235" t="s">
        <v>526</v>
      </c>
      <c r="B2" s="235"/>
      <c r="C2" s="235"/>
      <c r="D2" s="235"/>
      <c r="E2" s="235"/>
      <c r="F2" s="235"/>
    </row>
    <row r="3" spans="1:7" x14ac:dyDescent="0.25">
      <c r="A3" s="236"/>
      <c r="B3" s="236"/>
      <c r="C3" s="236"/>
      <c r="D3" s="236"/>
      <c r="E3" s="236"/>
      <c r="F3" s="236"/>
    </row>
    <row r="4" spans="1:7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</row>
    <row r="5" spans="1:7" x14ac:dyDescent="0.25">
      <c r="A5" s="233"/>
      <c r="B5" s="237"/>
      <c r="C5" s="237"/>
      <c r="D5" s="237"/>
      <c r="E5" s="237"/>
      <c r="F5" s="237"/>
      <c r="G5" s="6"/>
    </row>
    <row r="6" spans="1:7" x14ac:dyDescent="0.25">
      <c r="A6" s="238" t="s">
        <v>527</v>
      </c>
      <c r="B6" s="226"/>
      <c r="C6" s="226"/>
      <c r="D6" s="226"/>
      <c r="E6" s="226"/>
      <c r="F6" s="226"/>
      <c r="G6" s="6"/>
    </row>
    <row r="7" spans="1:7" x14ac:dyDescent="0.25">
      <c r="A7" s="233" t="s">
        <v>322</v>
      </c>
      <c r="B7" s="227">
        <f>BS!C20</f>
        <v>0</v>
      </c>
      <c r="C7" s="227">
        <f>BS!D20</f>
        <v>0</v>
      </c>
      <c r="D7" s="227">
        <f>BS!E20</f>
        <v>0</v>
      </c>
      <c r="E7" s="227">
        <f>BS!F20</f>
        <v>0</v>
      </c>
      <c r="F7" s="227">
        <f>BS!G20</f>
        <v>0</v>
      </c>
      <c r="G7" s="227">
        <f>BS!H20</f>
        <v>0</v>
      </c>
    </row>
    <row r="8" spans="1:7" x14ac:dyDescent="0.25">
      <c r="A8" s="226"/>
      <c r="B8" s="227"/>
      <c r="C8" s="227"/>
      <c r="D8" s="227"/>
      <c r="E8" s="227"/>
      <c r="F8" s="227"/>
      <c r="G8" s="6"/>
    </row>
    <row r="9" spans="1:7" x14ac:dyDescent="0.25">
      <c r="A9" s="226" t="s">
        <v>528</v>
      </c>
      <c r="B9" s="227">
        <f>SUM(B7:B8)</f>
        <v>0</v>
      </c>
      <c r="C9" s="227">
        <f t="shared" ref="C9:F9" si="0">SUM(C7:C8)</f>
        <v>0</v>
      </c>
      <c r="D9" s="227">
        <f t="shared" si="0"/>
        <v>0</v>
      </c>
      <c r="E9" s="227">
        <f t="shared" si="0"/>
        <v>0</v>
      </c>
      <c r="F9" s="227">
        <f t="shared" si="0"/>
        <v>0</v>
      </c>
      <c r="G9" s="227">
        <f>SUM(G7:G8)</f>
        <v>0</v>
      </c>
    </row>
    <row r="10" spans="1:7" x14ac:dyDescent="0.25">
      <c r="A10" s="226"/>
      <c r="B10" s="226"/>
      <c r="C10" s="226"/>
      <c r="D10" s="226"/>
      <c r="E10" s="226"/>
      <c r="F10" s="226"/>
      <c r="G10" s="6"/>
    </row>
    <row r="11" spans="1:7" x14ac:dyDescent="0.25">
      <c r="A11" s="238" t="s">
        <v>529</v>
      </c>
      <c r="B11" s="226"/>
      <c r="C11" s="226"/>
      <c r="D11" s="226"/>
      <c r="E11" s="226"/>
      <c r="F11" s="226"/>
      <c r="G11" s="6"/>
    </row>
    <row r="12" spans="1:7" x14ac:dyDescent="0.25">
      <c r="A12" s="226" t="s">
        <v>530</v>
      </c>
      <c r="B12" s="226"/>
      <c r="C12" s="226"/>
      <c r="D12" s="226"/>
      <c r="E12" s="226"/>
      <c r="F12" s="226"/>
      <c r="G12" s="6"/>
    </row>
    <row r="13" spans="1:7" x14ac:dyDescent="0.25">
      <c r="A13" s="233" t="s">
        <v>531</v>
      </c>
      <c r="B13" s="227">
        <f>BS!C9</f>
        <v>44.977811458333335</v>
      </c>
      <c r="C13" s="227">
        <f>BS!D9</f>
        <v>44.977811458333335</v>
      </c>
      <c r="D13" s="227">
        <f>BS!E9</f>
        <v>44.977811458333335</v>
      </c>
      <c r="E13" s="227">
        <f>BS!F9</f>
        <v>44.977811458333335</v>
      </c>
      <c r="F13" s="227">
        <f>BS!G9</f>
        <v>44.977811458333335</v>
      </c>
      <c r="G13" s="227">
        <f>BS!H9</f>
        <v>44.977811458333335</v>
      </c>
    </row>
    <row r="14" spans="1:7" x14ac:dyDescent="0.25">
      <c r="A14" s="233" t="s">
        <v>532</v>
      </c>
      <c r="B14" s="227">
        <f>BS!C13+BS!C19</f>
        <v>66.018093906250002</v>
      </c>
      <c r="C14" s="227">
        <f>BS!D13+BS!D19</f>
        <v>75.362196249531323</v>
      </c>
      <c r="D14" s="227">
        <f>BS!E13+BS!E19</f>
        <v>86.043379813117269</v>
      </c>
      <c r="E14" s="227">
        <f>BS!F13+BS!F19</f>
        <v>99.263337730195019</v>
      </c>
      <c r="F14" s="227">
        <f>BS!G13+BS!G19</f>
        <v>115.95707683720481</v>
      </c>
      <c r="G14" s="227">
        <f>BS!H13+BS!H19</f>
        <v>134.79621056034631</v>
      </c>
    </row>
    <row r="15" spans="1:7" x14ac:dyDescent="0.25">
      <c r="A15" s="226"/>
      <c r="B15" s="227"/>
      <c r="C15" s="227"/>
      <c r="D15" s="227"/>
      <c r="E15" s="227"/>
      <c r="F15" s="227"/>
      <c r="G15" s="6"/>
    </row>
    <row r="16" spans="1:7" x14ac:dyDescent="0.25">
      <c r="A16" s="226" t="s">
        <v>528</v>
      </c>
      <c r="B16" s="227">
        <f>SUM(B13:B15)</f>
        <v>110.99590536458334</v>
      </c>
      <c r="C16" s="227">
        <f t="shared" ref="C16:G16" si="1">SUM(C13:C15)</f>
        <v>120.34000770786466</v>
      </c>
      <c r="D16" s="227">
        <f t="shared" si="1"/>
        <v>131.02119127145062</v>
      </c>
      <c r="E16" s="227">
        <f t="shared" si="1"/>
        <v>144.24114918852837</v>
      </c>
      <c r="F16" s="227">
        <f t="shared" si="1"/>
        <v>160.93488829553814</v>
      </c>
      <c r="G16" s="227">
        <f t="shared" si="1"/>
        <v>179.77402201867966</v>
      </c>
    </row>
    <row r="17" spans="1:7" x14ac:dyDescent="0.25">
      <c r="A17" s="226"/>
      <c r="B17" s="226"/>
      <c r="C17" s="226"/>
      <c r="D17" s="226"/>
      <c r="E17" s="226"/>
      <c r="F17" s="226"/>
      <c r="G17" s="6"/>
    </row>
    <row r="18" spans="1:7" x14ac:dyDescent="0.25">
      <c r="A18" s="239" t="s">
        <v>533</v>
      </c>
      <c r="B18" s="229">
        <f>B9/B16</f>
        <v>0</v>
      </c>
      <c r="C18" s="229">
        <f t="shared" ref="C18:G18" si="2">C9/C16</f>
        <v>0</v>
      </c>
      <c r="D18" s="229">
        <f t="shared" si="2"/>
        <v>0</v>
      </c>
      <c r="E18" s="229">
        <f t="shared" si="2"/>
        <v>0</v>
      </c>
      <c r="F18" s="229">
        <f t="shared" si="2"/>
        <v>0</v>
      </c>
      <c r="G18" s="229">
        <f t="shared" si="2"/>
        <v>0</v>
      </c>
    </row>
    <row r="19" spans="1:7" s="3" customFormat="1" x14ac:dyDescent="0.25">
      <c r="A19" s="242" t="s">
        <v>546</v>
      </c>
      <c r="B19" s="384">
        <f>SUM(B18:F18)/6</f>
        <v>0</v>
      </c>
      <c r="C19" s="385"/>
      <c r="D19" s="385"/>
      <c r="E19" s="385"/>
      <c r="F19" s="385"/>
      <c r="G19" s="38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239"/>
      <c r="B21" s="45"/>
      <c r="C21" s="6"/>
      <c r="D21" s="6"/>
      <c r="E21" s="6"/>
      <c r="F21" s="6"/>
      <c r="G21" s="6"/>
    </row>
    <row r="22" spans="1:7" x14ac:dyDescent="0.25">
      <c r="A22" s="238" t="s">
        <v>527</v>
      </c>
      <c r="B22" s="226"/>
      <c r="C22" s="226"/>
      <c r="D22" s="226"/>
      <c r="E22" s="226"/>
      <c r="F22" s="226"/>
      <c r="G22" s="6"/>
    </row>
    <row r="23" spans="1:7" x14ac:dyDescent="0.25">
      <c r="A23" s="233" t="s">
        <v>322</v>
      </c>
      <c r="B23" s="227">
        <f>B7</f>
        <v>0</v>
      </c>
      <c r="C23" s="227">
        <f t="shared" ref="C23:G23" si="3">C7</f>
        <v>0</v>
      </c>
      <c r="D23" s="227">
        <f t="shared" si="3"/>
        <v>0</v>
      </c>
      <c r="E23" s="227">
        <f t="shared" si="3"/>
        <v>0</v>
      </c>
      <c r="F23" s="227">
        <f t="shared" si="3"/>
        <v>0</v>
      </c>
      <c r="G23" s="227">
        <f t="shared" si="3"/>
        <v>0</v>
      </c>
    </row>
    <row r="24" spans="1:7" x14ac:dyDescent="0.25">
      <c r="A24" s="226"/>
      <c r="B24" s="227"/>
      <c r="C24" s="227"/>
      <c r="D24" s="227"/>
      <c r="E24" s="227"/>
      <c r="F24" s="227"/>
      <c r="G24" s="6"/>
    </row>
    <row r="25" spans="1:7" x14ac:dyDescent="0.25">
      <c r="A25" s="226" t="s">
        <v>528</v>
      </c>
      <c r="B25" s="227">
        <f>SUM(B23:B24)</f>
        <v>0</v>
      </c>
      <c r="C25" s="227">
        <f t="shared" ref="C25:G25" si="4">SUM(C23:C24)</f>
        <v>0</v>
      </c>
      <c r="D25" s="227">
        <f t="shared" si="4"/>
        <v>0</v>
      </c>
      <c r="E25" s="227">
        <f t="shared" si="4"/>
        <v>0</v>
      </c>
      <c r="F25" s="227">
        <f t="shared" si="4"/>
        <v>0</v>
      </c>
      <c r="G25" s="227">
        <f t="shared" si="4"/>
        <v>0</v>
      </c>
    </row>
    <row r="26" spans="1:7" x14ac:dyDescent="0.25">
      <c r="A26" s="226"/>
      <c r="B26" s="226"/>
      <c r="C26" s="226"/>
      <c r="D26" s="226"/>
      <c r="E26" s="226"/>
      <c r="F26" s="226"/>
      <c r="G26" s="6"/>
    </row>
    <row r="27" spans="1:7" x14ac:dyDescent="0.25">
      <c r="A27" s="238" t="s">
        <v>529</v>
      </c>
      <c r="B27" s="226"/>
      <c r="C27" s="226"/>
      <c r="D27" s="226"/>
      <c r="E27" s="226"/>
      <c r="F27" s="226"/>
      <c r="G27" s="6"/>
    </row>
    <row r="28" spans="1:7" x14ac:dyDescent="0.25">
      <c r="A28" s="226" t="s">
        <v>530</v>
      </c>
      <c r="B28" s="226"/>
      <c r="C28" s="226"/>
      <c r="D28" s="226"/>
      <c r="E28" s="226"/>
      <c r="F28" s="226"/>
      <c r="G28" s="6"/>
    </row>
    <row r="29" spans="1:7" x14ac:dyDescent="0.25">
      <c r="A29" s="233" t="s">
        <v>531</v>
      </c>
      <c r="B29" s="227">
        <f>B13</f>
        <v>44.977811458333335</v>
      </c>
      <c r="C29" s="227">
        <f t="shared" ref="C29:G29" si="5">C13</f>
        <v>44.977811458333335</v>
      </c>
      <c r="D29" s="227">
        <f t="shared" si="5"/>
        <v>44.977811458333335</v>
      </c>
      <c r="E29" s="227">
        <f t="shared" si="5"/>
        <v>44.977811458333335</v>
      </c>
      <c r="F29" s="227">
        <f t="shared" si="5"/>
        <v>44.977811458333335</v>
      </c>
      <c r="G29" s="227">
        <f t="shared" si="5"/>
        <v>44.977811458333335</v>
      </c>
    </row>
    <row r="30" spans="1:7" x14ac:dyDescent="0.25">
      <c r="A30" s="233" t="s">
        <v>534</v>
      </c>
      <c r="B30" s="227">
        <f>BS!C19</f>
        <v>5.5947939062500023</v>
      </c>
      <c r="C30" s="227">
        <f>BS!D19</f>
        <v>14.938896249531322</v>
      </c>
      <c r="D30" s="227">
        <f>BS!E19</f>
        <v>25.620079813117275</v>
      </c>
      <c r="E30" s="227">
        <f>BS!F19</f>
        <v>38.840037730195029</v>
      </c>
      <c r="F30" s="227">
        <f>BS!G19</f>
        <v>55.533776837204812</v>
      </c>
      <c r="G30" s="227">
        <f>BS!H19</f>
        <v>74.372910560346298</v>
      </c>
    </row>
    <row r="31" spans="1:7" x14ac:dyDescent="0.25">
      <c r="A31" s="226"/>
      <c r="B31" s="227"/>
      <c r="C31" s="227"/>
      <c r="D31" s="227"/>
      <c r="E31" s="227"/>
      <c r="F31" s="227"/>
      <c r="G31" s="6"/>
    </row>
    <row r="32" spans="1:7" x14ac:dyDescent="0.25">
      <c r="A32" s="226" t="s">
        <v>528</v>
      </c>
      <c r="B32" s="227">
        <f>SUM(B29:B31)</f>
        <v>50.572605364583339</v>
      </c>
      <c r="C32" s="227">
        <f t="shared" ref="C32:G32" si="6">SUM(C29:C31)</f>
        <v>59.91670770786466</v>
      </c>
      <c r="D32" s="227">
        <f t="shared" si="6"/>
        <v>70.597891271450607</v>
      </c>
      <c r="E32" s="227">
        <f t="shared" si="6"/>
        <v>83.817849188528356</v>
      </c>
      <c r="F32" s="227">
        <f t="shared" si="6"/>
        <v>100.51158829553815</v>
      </c>
      <c r="G32" s="227">
        <f t="shared" si="6"/>
        <v>119.35072201867963</v>
      </c>
    </row>
    <row r="33" spans="1:7" x14ac:dyDescent="0.25">
      <c r="A33" s="226"/>
      <c r="B33" s="226"/>
      <c r="C33" s="226"/>
      <c r="D33" s="226"/>
      <c r="E33" s="226"/>
      <c r="F33" s="226"/>
      <c r="G33" s="6"/>
    </row>
    <row r="34" spans="1:7" x14ac:dyDescent="0.25">
      <c r="A34" s="239" t="s">
        <v>535</v>
      </c>
      <c r="B34" s="229">
        <f>B25/B32</f>
        <v>0</v>
      </c>
      <c r="C34" s="229">
        <f t="shared" ref="C34:G34" si="7">C25/C32</f>
        <v>0</v>
      </c>
      <c r="D34" s="229">
        <f t="shared" si="7"/>
        <v>0</v>
      </c>
      <c r="E34" s="229">
        <f t="shared" si="7"/>
        <v>0</v>
      </c>
      <c r="F34" s="229">
        <f t="shared" si="7"/>
        <v>0</v>
      </c>
      <c r="G34" s="229">
        <f t="shared" si="7"/>
        <v>0</v>
      </c>
    </row>
    <row r="35" spans="1:7" x14ac:dyDescent="0.25">
      <c r="A35" s="242" t="s">
        <v>547</v>
      </c>
      <c r="B35" s="384">
        <f>SUM(B34:G34)/6</f>
        <v>0</v>
      </c>
      <c r="C35" s="385"/>
      <c r="D35" s="385"/>
      <c r="E35" s="385"/>
      <c r="F35" s="385"/>
      <c r="G35" s="386"/>
    </row>
  </sheetData>
  <mergeCells count="2">
    <mergeCell ref="B19:G19"/>
    <mergeCell ref="B35:G35"/>
  </mergeCells>
  <pageMargins left="0.7" right="0.7" top="0.75" bottom="0.75" header="0.3" footer="0.3"/>
  <pageSetup scale="8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3" workbookViewId="0">
      <selection activeCell="E4" sqref="E4:E6"/>
    </sheetView>
  </sheetViews>
  <sheetFormatPr defaultColWidth="9.140625" defaultRowHeight="15" x14ac:dyDescent="0.25"/>
  <cols>
    <col min="1" max="1" width="9.140625" style="1"/>
    <col min="2" max="2" width="24.42578125" style="1" bestFit="1" customWidth="1"/>
    <col min="3" max="3" width="28.42578125" style="1" bestFit="1" customWidth="1"/>
    <col min="4" max="4" width="9.140625" style="1"/>
    <col min="5" max="5" width="9.7109375" style="1" bestFit="1" customWidth="1"/>
    <col min="6" max="6" width="9.7109375" style="1" customWidth="1"/>
    <col min="7" max="7" width="14.140625" style="1" bestFit="1" customWidth="1"/>
    <col min="8" max="16384" width="9.140625" style="1"/>
  </cols>
  <sheetData>
    <row r="2" spans="1:7" x14ac:dyDescent="0.25">
      <c r="A2" s="16" t="s">
        <v>0</v>
      </c>
      <c r="B2" s="16" t="s">
        <v>1</v>
      </c>
      <c r="C2" s="16" t="s">
        <v>2</v>
      </c>
      <c r="D2" s="16"/>
      <c r="E2" s="16" t="s">
        <v>3</v>
      </c>
      <c r="F2" s="134"/>
    </row>
    <row r="3" spans="1:7" x14ac:dyDescent="0.25">
      <c r="A3" s="7">
        <v>1</v>
      </c>
      <c r="B3" s="8" t="s">
        <v>4</v>
      </c>
      <c r="C3" s="6"/>
      <c r="D3" s="6"/>
      <c r="E3" s="9">
        <v>0</v>
      </c>
      <c r="F3" s="125"/>
    </row>
    <row r="4" spans="1:7" ht="45" x14ac:dyDescent="0.25">
      <c r="A4" s="7">
        <v>2</v>
      </c>
      <c r="B4" s="8" t="s">
        <v>5</v>
      </c>
      <c r="C4" s="10" t="s">
        <v>6</v>
      </c>
      <c r="D4" s="6"/>
      <c r="E4" s="9">
        <v>60</v>
      </c>
      <c r="F4" s="125"/>
      <c r="G4" s="1" t="s">
        <v>366</v>
      </c>
    </row>
    <row r="5" spans="1:7" x14ac:dyDescent="0.25">
      <c r="A5" s="7">
        <v>3</v>
      </c>
      <c r="B5" s="8" t="s">
        <v>7</v>
      </c>
      <c r="C5" s="6" t="s">
        <v>8</v>
      </c>
      <c r="D5" s="6"/>
      <c r="E5" s="9">
        <v>10</v>
      </c>
      <c r="F5" s="125"/>
      <c r="G5" s="1" t="s">
        <v>367</v>
      </c>
    </row>
    <row r="6" spans="1:7" x14ac:dyDescent="0.25">
      <c r="A6" s="7">
        <v>4</v>
      </c>
      <c r="B6" s="8" t="s">
        <v>9</v>
      </c>
      <c r="C6" s="6"/>
      <c r="D6" s="6"/>
      <c r="E6" s="9">
        <f>SUM(D7:D11)</f>
        <v>83</v>
      </c>
      <c r="F6" s="125"/>
      <c r="G6" s="1" t="s">
        <v>366</v>
      </c>
    </row>
    <row r="7" spans="1:7" x14ac:dyDescent="0.25">
      <c r="A7" s="6"/>
      <c r="B7" s="6" t="s">
        <v>10</v>
      </c>
      <c r="C7" s="6" t="s">
        <v>11</v>
      </c>
      <c r="D7" s="9">
        <v>10</v>
      </c>
      <c r="E7" s="9"/>
      <c r="F7" s="125"/>
      <c r="G7" s="1" t="s">
        <v>366</v>
      </c>
    </row>
    <row r="8" spans="1:7" x14ac:dyDescent="0.25">
      <c r="A8" s="6"/>
      <c r="B8" s="6" t="s">
        <v>12</v>
      </c>
      <c r="C8" s="6" t="s">
        <v>73</v>
      </c>
      <c r="D8" s="9">
        <f>25*2</f>
        <v>50</v>
      </c>
      <c r="E8" s="9"/>
      <c r="F8" s="125"/>
      <c r="G8" s="1" t="s">
        <v>33</v>
      </c>
    </row>
    <row r="9" spans="1:7" ht="75" x14ac:dyDescent="0.25">
      <c r="A9" s="6"/>
      <c r="B9" s="6" t="s">
        <v>13</v>
      </c>
      <c r="C9" s="10" t="s">
        <v>14</v>
      </c>
      <c r="D9" s="9">
        <v>10</v>
      </c>
      <c r="E9" s="9"/>
      <c r="F9" s="125"/>
      <c r="G9" s="5" t="s">
        <v>394</v>
      </c>
    </row>
    <row r="10" spans="1:7" ht="75" x14ac:dyDescent="0.25">
      <c r="A10" s="6"/>
      <c r="B10" s="6" t="s">
        <v>15</v>
      </c>
      <c r="C10" s="10" t="s">
        <v>16</v>
      </c>
      <c r="D10" s="9">
        <v>12</v>
      </c>
      <c r="E10" s="9"/>
      <c r="F10" s="125"/>
      <c r="G10" s="1" t="s">
        <v>366</v>
      </c>
    </row>
    <row r="11" spans="1:7" ht="30" x14ac:dyDescent="0.25">
      <c r="A11" s="6"/>
      <c r="B11" s="10" t="s">
        <v>17</v>
      </c>
      <c r="C11" s="6" t="s">
        <v>18</v>
      </c>
      <c r="D11" s="9">
        <v>1</v>
      </c>
      <c r="E11" s="9"/>
      <c r="F11" s="125"/>
      <c r="G11" s="1" t="s">
        <v>366</v>
      </c>
    </row>
    <row r="12" spans="1:7" x14ac:dyDescent="0.25">
      <c r="A12" s="6"/>
      <c r="B12" s="6"/>
      <c r="C12" s="6"/>
      <c r="D12" s="6"/>
      <c r="E12" s="9"/>
      <c r="F12" s="125"/>
    </row>
    <row r="13" spans="1:7" x14ac:dyDescent="0.25">
      <c r="A13" s="7">
        <v>5</v>
      </c>
      <c r="B13" s="8" t="s">
        <v>19</v>
      </c>
      <c r="C13" s="6" t="s">
        <v>20</v>
      </c>
      <c r="D13" s="6"/>
      <c r="E13" s="9">
        <f>ROUND(($E$6+$E$4+$E$5)*3%,0)</f>
        <v>5</v>
      </c>
      <c r="F13" s="125"/>
    </row>
    <row r="14" spans="1:7" x14ac:dyDescent="0.25">
      <c r="A14" s="7">
        <v>6</v>
      </c>
      <c r="B14" s="8" t="s">
        <v>21</v>
      </c>
      <c r="C14" s="6" t="s">
        <v>22</v>
      </c>
      <c r="D14" s="6"/>
      <c r="E14" s="9">
        <f>ROUND(($E$6+$E$4+$E$5)*2%,0)</f>
        <v>3</v>
      </c>
      <c r="F14" s="125"/>
    </row>
    <row r="15" spans="1:7" x14ac:dyDescent="0.25">
      <c r="A15" s="7">
        <v>7</v>
      </c>
      <c r="B15" s="8" t="s">
        <v>23</v>
      </c>
      <c r="C15" s="6" t="s">
        <v>365</v>
      </c>
      <c r="D15" s="6"/>
      <c r="E15" s="9">
        <f>'WC Assessment'!C13</f>
        <v>4.6956114583333344</v>
      </c>
      <c r="F15" s="125"/>
    </row>
    <row r="16" spans="1:7" x14ac:dyDescent="0.25">
      <c r="A16" s="6"/>
      <c r="B16" s="6"/>
      <c r="C16" s="6"/>
      <c r="D16" s="6"/>
      <c r="E16" s="6"/>
      <c r="F16" s="23"/>
    </row>
    <row r="17" spans="1:6" x14ac:dyDescent="0.25">
      <c r="A17" s="6"/>
      <c r="B17" s="345" t="s">
        <v>24</v>
      </c>
      <c r="C17" s="345"/>
      <c r="D17" s="6"/>
      <c r="E17" s="11">
        <f>SUM(E4:E15)</f>
        <v>165.69561145833333</v>
      </c>
      <c r="F17" s="126"/>
    </row>
  </sheetData>
  <mergeCells count="1">
    <mergeCell ref="B17:C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9" sqref="C19"/>
    </sheetView>
  </sheetViews>
  <sheetFormatPr defaultColWidth="9.140625" defaultRowHeight="15" x14ac:dyDescent="0.25"/>
  <cols>
    <col min="1" max="1" width="21.42578125" style="1" customWidth="1"/>
    <col min="2" max="5" width="9.28515625" style="1" bestFit="1" customWidth="1"/>
    <col min="6" max="7" width="9.5703125" style="1" bestFit="1" customWidth="1"/>
    <col min="8" max="8" width="9.28515625" style="1" bestFit="1" customWidth="1"/>
    <col min="9" max="16384" width="9.140625" style="1"/>
  </cols>
  <sheetData>
    <row r="1" spans="1:9" x14ac:dyDescent="0.25">
      <c r="A1" s="367" t="s">
        <v>545</v>
      </c>
      <c r="B1" s="367"/>
      <c r="C1" s="367"/>
      <c r="D1" s="367"/>
      <c r="E1" s="367"/>
      <c r="F1" s="367"/>
      <c r="G1" s="367"/>
      <c r="H1" s="367"/>
    </row>
    <row r="3" spans="1:9" x14ac:dyDescent="0.25">
      <c r="A3" s="6" t="s">
        <v>1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</row>
    <row r="4" spans="1:9" x14ac:dyDescent="0.25">
      <c r="A4" s="6" t="s">
        <v>536</v>
      </c>
      <c r="B4" s="19">
        <f>'P&amp;L'!B36</f>
        <v>5.5947939062500023</v>
      </c>
      <c r="C4" s="19">
        <f>'P&amp;L'!C36</f>
        <v>9.3441023432813193</v>
      </c>
      <c r="D4" s="19">
        <f>'P&amp;L'!D36</f>
        <v>10.681183563585954</v>
      </c>
      <c r="E4" s="19">
        <f>'P&amp;L'!E36</f>
        <v>13.219957917077755</v>
      </c>
      <c r="F4" s="19">
        <f>'P&amp;L'!F36</f>
        <v>16.693739107009783</v>
      </c>
      <c r="G4" s="19">
        <f>'P&amp;L'!G36</f>
        <v>18.839133723141483</v>
      </c>
      <c r="H4" s="19">
        <f>'P&amp;L'!H36</f>
        <v>22.850009790067368</v>
      </c>
      <c r="I4" s="13"/>
    </row>
    <row r="5" spans="1:9" ht="30" x14ac:dyDescent="0.25">
      <c r="A5" s="10" t="s">
        <v>537</v>
      </c>
      <c r="B5" s="19">
        <f>'P&amp;L'!B32</f>
        <v>4.7021909999999991</v>
      </c>
      <c r="C5" s="19">
        <f>'P&amp;L'!C32</f>
        <v>4.7021909999999991</v>
      </c>
      <c r="D5" s="19">
        <f>'P&amp;L'!D32</f>
        <v>4.7021909999999991</v>
      </c>
      <c r="E5" s="19">
        <f>'P&amp;L'!E32</f>
        <v>4.7021909999999991</v>
      </c>
      <c r="F5" s="19">
        <f>'P&amp;L'!F32</f>
        <v>4.7021909999999991</v>
      </c>
      <c r="G5" s="19">
        <f>'P&amp;L'!G32</f>
        <v>4.7021909999999991</v>
      </c>
      <c r="H5" s="19">
        <f>'P&amp;L'!H32</f>
        <v>4.7021909999999991</v>
      </c>
    </row>
    <row r="6" spans="1:9" ht="30" x14ac:dyDescent="0.25">
      <c r="A6" s="10" t="s">
        <v>538</v>
      </c>
      <c r="B6" s="19">
        <f>'P&amp;L'!B27</f>
        <v>0.47954999999999998</v>
      </c>
      <c r="C6" s="19">
        <f>'P&amp;L'!C27</f>
        <v>0.47954999999999998</v>
      </c>
      <c r="D6" s="19">
        <f>'P&amp;L'!D27</f>
        <v>0.47954999999999998</v>
      </c>
      <c r="E6" s="19">
        <f>'P&amp;L'!E27</f>
        <v>0.47954999999999998</v>
      </c>
      <c r="F6" s="19">
        <f>'P&amp;L'!F27</f>
        <v>0.47954999999999998</v>
      </c>
      <c r="G6" s="19">
        <f>'P&amp;L'!G27</f>
        <v>0.47954999999999998</v>
      </c>
      <c r="H6" s="19">
        <f>'P&amp;L'!H27</f>
        <v>0.47954999999999998</v>
      </c>
    </row>
    <row r="7" spans="1:9" ht="30" x14ac:dyDescent="0.25">
      <c r="A7" s="10" t="s">
        <v>539</v>
      </c>
      <c r="B7" s="19">
        <f>'P&amp;L'!B30</f>
        <v>0</v>
      </c>
      <c r="C7" s="19">
        <f>'P&amp;L'!C30</f>
        <v>0</v>
      </c>
      <c r="D7" s="19">
        <f>'P&amp;L'!D30</f>
        <v>0</v>
      </c>
      <c r="E7" s="19">
        <f>'P&amp;L'!E30</f>
        <v>0</v>
      </c>
      <c r="F7" s="19">
        <f>'P&amp;L'!F30</f>
        <v>0</v>
      </c>
      <c r="G7" s="19">
        <f>'P&amp;L'!G30</f>
        <v>0</v>
      </c>
      <c r="H7" s="19">
        <f>'P&amp;L'!H30</f>
        <v>0</v>
      </c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idden="1" x14ac:dyDescent="0.25">
      <c r="A9" s="10" t="s">
        <v>540</v>
      </c>
      <c r="B9" s="19">
        <f>B7</f>
        <v>0</v>
      </c>
      <c r="C9" s="19">
        <f t="shared" ref="C9:H9" si="0">C7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</row>
    <row r="10" spans="1:9" x14ac:dyDescent="0.25">
      <c r="A10" s="10" t="s">
        <v>541</v>
      </c>
      <c r="B10" s="19">
        <f>'TL Schedule'!C5+'TL Schedule'!C6</f>
        <v>0</v>
      </c>
      <c r="C10" s="19">
        <f>'TL Schedule'!D5+'TL Schedule'!D6</f>
        <v>0</v>
      </c>
      <c r="D10" s="19">
        <f>'TL Schedule'!E5+'TL Schedule'!E6</f>
        <v>0</v>
      </c>
      <c r="E10" s="19">
        <f>'TL Schedule'!F5+'TL Schedule'!F6</f>
        <v>0</v>
      </c>
      <c r="F10" s="19">
        <f>'TL Schedule'!G5+'TL Schedule'!G6</f>
        <v>0</v>
      </c>
      <c r="G10" s="19">
        <f>'TL Schedule'!H5+'TL Schedule'!H6</f>
        <v>0</v>
      </c>
      <c r="H10" s="19">
        <f>'TL Schedule'!I5+'TL Schedule'!I6</f>
        <v>0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</row>
    <row r="12" spans="1:9" x14ac:dyDescent="0.25">
      <c r="A12" s="83" t="s">
        <v>358</v>
      </c>
      <c r="B12" s="19" t="e">
        <f>SUM(B4:B7)/B10</f>
        <v>#DIV/0!</v>
      </c>
      <c r="C12" s="19" t="e">
        <f t="shared" ref="C12:G12" si="1">SUM(C4:C7)/C10</f>
        <v>#DIV/0!</v>
      </c>
      <c r="D12" s="19" t="e">
        <f t="shared" si="1"/>
        <v>#DIV/0!</v>
      </c>
      <c r="E12" s="19" t="e">
        <f t="shared" si="1"/>
        <v>#DIV/0!</v>
      </c>
      <c r="F12" s="19" t="e">
        <f t="shared" si="1"/>
        <v>#DIV/0!</v>
      </c>
      <c r="G12" s="19" t="e">
        <f t="shared" si="1"/>
        <v>#DIV/0!</v>
      </c>
      <c r="H12" s="19">
        <v>0</v>
      </c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hidden="1" x14ac:dyDescent="0.25">
      <c r="A14" s="8" t="s">
        <v>542</v>
      </c>
      <c r="B14" s="19" t="e">
        <f>(SUM(B4:B7)/B9)</f>
        <v>#DIV/0!</v>
      </c>
      <c r="C14" s="19" t="e">
        <f t="shared" ref="C14:G14" si="2">(SUM(C4:C7)/C9)</f>
        <v>#DIV/0!</v>
      </c>
      <c r="D14" s="19" t="e">
        <f t="shared" si="2"/>
        <v>#DIV/0!</v>
      </c>
      <c r="E14" s="19" t="e">
        <f t="shared" si="2"/>
        <v>#DIV/0!</v>
      </c>
      <c r="F14" s="19" t="e">
        <f t="shared" si="2"/>
        <v>#DIV/0!</v>
      </c>
      <c r="G14" s="19" t="e">
        <f t="shared" si="2"/>
        <v>#DIV/0!</v>
      </c>
      <c r="H14" s="19">
        <v>0</v>
      </c>
    </row>
    <row r="15" spans="1:9" hidden="1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8" t="s">
        <v>543</v>
      </c>
      <c r="B16" s="387" t="e">
        <f>SUM(B12:G12)/6</f>
        <v>#DIV/0!</v>
      </c>
      <c r="C16" s="387"/>
      <c r="D16" s="387"/>
      <c r="E16" s="387"/>
      <c r="F16" s="387"/>
      <c r="G16" s="387"/>
      <c r="H16" s="387"/>
    </row>
    <row r="17" spans="1:8" hidden="1" x14ac:dyDescent="0.25">
      <c r="A17" s="8" t="s">
        <v>544</v>
      </c>
      <c r="B17" s="387" t="e">
        <f>SUM(B14:G14)/6</f>
        <v>#DIV/0!</v>
      </c>
      <c r="C17" s="387"/>
      <c r="D17" s="387"/>
      <c r="E17" s="387"/>
      <c r="F17" s="387"/>
      <c r="G17" s="387"/>
      <c r="H17" s="387"/>
    </row>
  </sheetData>
  <mergeCells count="3">
    <mergeCell ref="A1:H1"/>
    <mergeCell ref="B16:H16"/>
    <mergeCell ref="B17:H1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33" zoomScale="85" zoomScaleNormal="80" zoomScaleSheetLayoutView="85" workbookViewId="0">
      <selection activeCell="L28" sqref="A28:L44"/>
    </sheetView>
  </sheetViews>
  <sheetFormatPr defaultColWidth="9.140625" defaultRowHeight="15" x14ac:dyDescent="0.25"/>
  <cols>
    <col min="1" max="1" width="32" style="104" bestFit="1" customWidth="1"/>
    <col min="2" max="2" width="16.85546875" style="104" hidden="1" customWidth="1"/>
    <col min="3" max="7" width="14.7109375" style="104" bestFit="1" customWidth="1"/>
    <col min="8" max="8" width="13.42578125" style="104" bestFit="1" customWidth="1"/>
    <col min="9" max="9" width="14.7109375" style="104" bestFit="1" customWidth="1"/>
    <col min="10" max="12" width="7.7109375" style="104" bestFit="1" customWidth="1"/>
    <col min="13" max="15" width="9.140625" style="104"/>
    <col min="16" max="16" width="23.42578125" style="104" bestFit="1" customWidth="1"/>
    <col min="17" max="16384" width="9.140625" style="104"/>
  </cols>
  <sheetData>
    <row r="1" spans="1:16" hidden="1" x14ac:dyDescent="0.25">
      <c r="A1" s="132" t="s">
        <v>347</v>
      </c>
      <c r="B1" s="100"/>
      <c r="C1" s="100"/>
      <c r="D1" s="100"/>
      <c r="E1" s="100"/>
      <c r="F1" s="100"/>
      <c r="G1" s="100"/>
      <c r="H1" s="100"/>
      <c r="I1" s="100"/>
    </row>
    <row r="2" spans="1:16" hidden="1" x14ac:dyDescent="0.25">
      <c r="A2" s="100" t="s">
        <v>1</v>
      </c>
      <c r="B2" s="100"/>
      <c r="C2" s="176" t="s">
        <v>36</v>
      </c>
      <c r="D2" s="176" t="s">
        <v>37</v>
      </c>
      <c r="E2" s="176" t="s">
        <v>38</v>
      </c>
      <c r="F2" s="176" t="s">
        <v>39</v>
      </c>
      <c r="G2" s="176" t="s">
        <v>40</v>
      </c>
      <c r="H2" s="176" t="s">
        <v>41</v>
      </c>
      <c r="I2" s="176" t="s">
        <v>42</v>
      </c>
    </row>
    <row r="3" spans="1:16" hidden="1" x14ac:dyDescent="0.25">
      <c r="A3" s="36" t="s">
        <v>348</v>
      </c>
      <c r="B3" s="36"/>
      <c r="C3" s="72">
        <f>'P&amp;L'!B36</f>
        <v>5.5947939062500023</v>
      </c>
      <c r="D3" s="72">
        <f>'P&amp;L'!C36</f>
        <v>9.3441023432813193</v>
      </c>
      <c r="E3" s="72">
        <f>'P&amp;L'!D36</f>
        <v>10.681183563585954</v>
      </c>
      <c r="F3" s="72">
        <f>'P&amp;L'!E36</f>
        <v>13.219957917077755</v>
      </c>
      <c r="G3" s="72">
        <f>'P&amp;L'!F36</f>
        <v>16.693739107009783</v>
      </c>
      <c r="H3" s="72">
        <f>'P&amp;L'!G36</f>
        <v>18.839133723141483</v>
      </c>
      <c r="I3" s="72">
        <f>'P&amp;L'!H36</f>
        <v>22.850009790067368</v>
      </c>
      <c r="J3" s="1"/>
      <c r="K3" s="1"/>
      <c r="L3" s="1"/>
    </row>
    <row r="4" spans="1:16" hidden="1" x14ac:dyDescent="0.25">
      <c r="A4" s="36"/>
      <c r="B4" s="36"/>
      <c r="C4" s="36"/>
      <c r="D4" s="36"/>
      <c r="E4" s="36"/>
      <c r="F4" s="36"/>
      <c r="G4" s="36"/>
      <c r="H4" s="36"/>
      <c r="I4" s="36"/>
      <c r="J4" s="1"/>
      <c r="K4" s="1"/>
      <c r="L4" s="1"/>
    </row>
    <row r="5" spans="1:16" hidden="1" x14ac:dyDescent="0.25">
      <c r="A5" s="36" t="s">
        <v>349</v>
      </c>
      <c r="B5" s="36"/>
      <c r="C5" s="72">
        <f>'P&amp;L'!B32</f>
        <v>4.7021909999999991</v>
      </c>
      <c r="D5" s="72">
        <f>'P&amp;L'!C32</f>
        <v>4.7021909999999991</v>
      </c>
      <c r="E5" s="72">
        <f>'P&amp;L'!D32</f>
        <v>4.7021909999999991</v>
      </c>
      <c r="F5" s="72">
        <f>'P&amp;L'!E32</f>
        <v>4.7021909999999991</v>
      </c>
      <c r="G5" s="72">
        <f>'P&amp;L'!F32</f>
        <v>4.7021909999999991</v>
      </c>
      <c r="H5" s="72">
        <f>'P&amp;L'!G32</f>
        <v>4.7021909999999991</v>
      </c>
      <c r="I5" s="72">
        <f>'P&amp;L'!H32</f>
        <v>4.7021909999999991</v>
      </c>
      <c r="J5" s="1"/>
      <c r="K5" s="1"/>
      <c r="L5" s="1"/>
    </row>
    <row r="6" spans="1:16" hidden="1" x14ac:dyDescent="0.25">
      <c r="A6" s="36"/>
      <c r="B6" s="36"/>
      <c r="C6" s="36"/>
      <c r="D6" s="36"/>
      <c r="E6" s="36"/>
      <c r="F6" s="36"/>
      <c r="G6" s="36"/>
      <c r="H6" s="36"/>
      <c r="I6" s="36"/>
      <c r="J6" s="1"/>
      <c r="K6" s="1"/>
      <c r="L6" s="1"/>
      <c r="M6" s="223"/>
      <c r="N6" s="223"/>
      <c r="P6" s="119"/>
    </row>
    <row r="7" spans="1:16" hidden="1" x14ac:dyDescent="0.25">
      <c r="A7" s="36" t="s">
        <v>350</v>
      </c>
      <c r="B7" s="36"/>
      <c r="C7" s="72">
        <f>'P&amp;L'!B27</f>
        <v>0.47954999999999998</v>
      </c>
      <c r="D7" s="72">
        <f>'P&amp;L'!C27</f>
        <v>0.47954999999999998</v>
      </c>
      <c r="E7" s="72">
        <f>'P&amp;L'!D27</f>
        <v>0.47954999999999998</v>
      </c>
      <c r="F7" s="72">
        <f>'P&amp;L'!E27</f>
        <v>0.47954999999999998</v>
      </c>
      <c r="G7" s="72">
        <f>'P&amp;L'!F27</f>
        <v>0.47954999999999998</v>
      </c>
      <c r="H7" s="72">
        <f>'P&amp;L'!G27</f>
        <v>0.47954999999999998</v>
      </c>
      <c r="I7" s="72">
        <f>'P&amp;L'!H27</f>
        <v>0.47954999999999998</v>
      </c>
      <c r="J7" s="1"/>
      <c r="K7" s="1"/>
      <c r="L7" s="1"/>
      <c r="M7" s="119"/>
      <c r="N7" s="223"/>
      <c r="P7" s="119"/>
    </row>
    <row r="8" spans="1:16" hidden="1" x14ac:dyDescent="0.25">
      <c r="A8" s="36"/>
      <c r="B8" s="36"/>
      <c r="C8" s="36"/>
      <c r="D8" s="36"/>
      <c r="E8" s="36"/>
      <c r="F8" s="36"/>
      <c r="G8" s="36"/>
      <c r="H8" s="36"/>
      <c r="I8" s="36"/>
      <c r="J8" s="1"/>
      <c r="K8" s="1"/>
      <c r="L8" s="1"/>
      <c r="M8" s="223"/>
      <c r="N8" s="223"/>
      <c r="P8" s="119"/>
    </row>
    <row r="9" spans="1:16" hidden="1" x14ac:dyDescent="0.25">
      <c r="A9" s="77" t="s">
        <v>433</v>
      </c>
      <c r="B9" s="36"/>
      <c r="C9" s="36"/>
      <c r="D9" s="36"/>
      <c r="E9" s="36"/>
      <c r="F9" s="36"/>
      <c r="G9" s="36"/>
      <c r="H9" s="36"/>
      <c r="I9" s="44">
        <v>0</v>
      </c>
      <c r="J9" s="1"/>
      <c r="K9" s="1"/>
      <c r="L9" s="1"/>
    </row>
    <row r="10" spans="1:16" hidden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1"/>
      <c r="K10" s="1"/>
      <c r="L10" s="1"/>
    </row>
    <row r="11" spans="1:16" hidden="1" x14ac:dyDescent="0.25">
      <c r="A11" s="36" t="s">
        <v>351</v>
      </c>
      <c r="B11" s="73">
        <f>-C20</f>
        <v>-105.40111145833333</v>
      </c>
      <c r="C11" s="72">
        <f>C3+C5+C7</f>
        <v>10.776534906250001</v>
      </c>
      <c r="D11" s="72">
        <f t="shared" ref="D11:H11" si="0">D3+D5+D7</f>
        <v>14.525843343281318</v>
      </c>
      <c r="E11" s="72">
        <f t="shared" si="0"/>
        <v>15.862924563585953</v>
      </c>
      <c r="F11" s="72">
        <f t="shared" si="0"/>
        <v>18.401698917077756</v>
      </c>
      <c r="G11" s="72">
        <f t="shared" si="0"/>
        <v>21.875480107009782</v>
      </c>
      <c r="H11" s="72">
        <f t="shared" si="0"/>
        <v>24.020874723141482</v>
      </c>
      <c r="I11" s="72">
        <f>I3+I5+I7+I9</f>
        <v>28.031750790067367</v>
      </c>
      <c r="J11" s="1"/>
      <c r="K11" s="1"/>
      <c r="L11" s="1"/>
    </row>
    <row r="12" spans="1:16" hidden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1"/>
      <c r="K12" s="1"/>
      <c r="L12" s="1"/>
    </row>
    <row r="13" spans="1:16" hidden="1" x14ac:dyDescent="0.25">
      <c r="A13" s="21" t="s">
        <v>352</v>
      </c>
      <c r="B13" s="36"/>
      <c r="C13" s="36">
        <f>1/1.1</f>
        <v>0.90909090909090906</v>
      </c>
      <c r="D13" s="36">
        <f>C13/1.1</f>
        <v>0.82644628099173545</v>
      </c>
      <c r="E13" s="36">
        <f>D13/1.1</f>
        <v>0.75131480090157765</v>
      </c>
      <c r="F13" s="36">
        <f t="shared" ref="F13:I13" si="1">E13/1.1</f>
        <v>0.68301345536507052</v>
      </c>
      <c r="G13" s="36">
        <f t="shared" si="1"/>
        <v>0.62092132305915493</v>
      </c>
      <c r="H13" s="36">
        <f t="shared" si="1"/>
        <v>0.56447393005377711</v>
      </c>
      <c r="I13" s="36">
        <f t="shared" si="1"/>
        <v>0.51315811823070645</v>
      </c>
      <c r="J13" s="1"/>
      <c r="K13" s="1"/>
      <c r="L13" s="1"/>
    </row>
    <row r="14" spans="1:16" hidden="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1"/>
      <c r="K14" s="1"/>
      <c r="L14" s="1"/>
    </row>
    <row r="15" spans="1:16" hidden="1" x14ac:dyDescent="0.25">
      <c r="A15" s="77" t="s">
        <v>434</v>
      </c>
      <c r="B15" s="36"/>
      <c r="C15" s="44">
        <f t="shared" ref="C15:I15" si="2">C11*C13</f>
        <v>9.7968499147727286</v>
      </c>
      <c r="D15" s="44">
        <f t="shared" si="2"/>
        <v>12.004829209323402</v>
      </c>
      <c r="E15" s="44">
        <f t="shared" si="2"/>
        <v>11.918050010207326</v>
      </c>
      <c r="F15" s="44">
        <f t="shared" si="2"/>
        <v>12.568607961940954</v>
      </c>
      <c r="G15" s="44">
        <f t="shared" si="2"/>
        <v>13.582952050598738</v>
      </c>
      <c r="H15" s="44">
        <f t="shared" si="2"/>
        <v>13.559157558301107</v>
      </c>
      <c r="I15" s="44">
        <f t="shared" si="2"/>
        <v>14.384720486143088</v>
      </c>
      <c r="J15" s="1"/>
      <c r="K15" s="1"/>
      <c r="L15" s="1"/>
    </row>
    <row r="16" spans="1:16" hidden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1"/>
      <c r="K16" s="1"/>
      <c r="L16" s="1"/>
    </row>
    <row r="17" spans="1:12" s="1" customFormat="1" hidden="1" x14ac:dyDescent="0.25">
      <c r="A17" s="21" t="s">
        <v>435</v>
      </c>
      <c r="B17" s="6"/>
      <c r="C17" s="9">
        <f>SUM(C15:I15)</f>
        <v>87.815167191287344</v>
      </c>
      <c r="D17" s="6"/>
      <c r="E17" s="6"/>
      <c r="F17" s="6"/>
      <c r="G17" s="6"/>
      <c r="H17" s="6"/>
      <c r="I17" s="6"/>
    </row>
    <row r="18" spans="1:12" s="1" customFormat="1" hidden="1" x14ac:dyDescent="0.25"/>
    <row r="19" spans="1:12" s="1" customFormat="1" hidden="1" x14ac:dyDescent="0.25"/>
    <row r="20" spans="1:12" hidden="1" x14ac:dyDescent="0.25">
      <c r="A20" s="104" t="s">
        <v>436</v>
      </c>
      <c r="C20" s="115">
        <f>'Project Glance'!B15</f>
        <v>105.40111145833333</v>
      </c>
      <c r="E20" s="115"/>
      <c r="F20" s="120"/>
      <c r="G20" s="120"/>
      <c r="H20" s="120"/>
      <c r="I20" s="120"/>
      <c r="J20" s="120"/>
      <c r="K20" s="120"/>
    </row>
    <row r="21" spans="1:12" hidden="1" x14ac:dyDescent="0.25">
      <c r="F21" s="38"/>
      <c r="G21" s="120"/>
      <c r="H21" s="120"/>
      <c r="I21" s="120"/>
      <c r="J21" s="120"/>
      <c r="K21" s="120"/>
    </row>
    <row r="22" spans="1:12" s="118" customFormat="1" hidden="1" x14ac:dyDescent="0.25">
      <c r="A22" s="177" t="s">
        <v>437</v>
      </c>
      <c r="B22" s="177"/>
      <c r="C22" s="178">
        <f>C17-C20</f>
        <v>-17.585944267045988</v>
      </c>
    </row>
    <row r="23" spans="1:12" hidden="1" x14ac:dyDescent="0.25"/>
    <row r="24" spans="1:12" hidden="1" x14ac:dyDescent="0.25">
      <c r="A24" s="137" t="s">
        <v>353</v>
      </c>
      <c r="B24" s="137"/>
      <c r="C24" s="139">
        <f>IRR(B11:I11)</f>
        <v>5.4212741751971771E-2</v>
      </c>
    </row>
    <row r="25" spans="1:12" hidden="1" x14ac:dyDescent="0.25">
      <c r="A25" s="118"/>
      <c r="B25" s="118"/>
      <c r="C25" s="118"/>
    </row>
    <row r="26" spans="1:12" hidden="1" x14ac:dyDescent="0.25">
      <c r="A26" s="137" t="s">
        <v>443</v>
      </c>
      <c r="B26" s="137"/>
      <c r="C26" s="138">
        <f>AVERAGE('P&amp;L'!B36:H36)/'Project Glance'!B23</f>
        <v>0.13177269603061251</v>
      </c>
      <c r="E26" s="119"/>
    </row>
    <row r="28" spans="1:12" x14ac:dyDescent="0.25">
      <c r="A28" s="121" t="s">
        <v>1</v>
      </c>
      <c r="B28" s="121"/>
      <c r="C28" s="121" t="s">
        <v>36</v>
      </c>
      <c r="D28" s="121" t="s">
        <v>37</v>
      </c>
      <c r="E28" s="121" t="s">
        <v>38</v>
      </c>
      <c r="F28" s="121" t="s">
        <v>39</v>
      </c>
      <c r="G28" s="121" t="s">
        <v>40</v>
      </c>
      <c r="H28" s="121" t="s">
        <v>41</v>
      </c>
      <c r="I28" s="121" t="s">
        <v>42</v>
      </c>
      <c r="J28" s="121" t="s">
        <v>495</v>
      </c>
      <c r="K28" s="121" t="s">
        <v>496</v>
      </c>
      <c r="L28" s="121" t="s">
        <v>497</v>
      </c>
    </row>
    <row r="29" spans="1:12" x14ac:dyDescent="0.25">
      <c r="A29" s="36" t="s">
        <v>348</v>
      </c>
      <c r="B29" s="36"/>
      <c r="C29" s="72">
        <f>+'P&amp;L'!B36</f>
        <v>5.5947939062500023</v>
      </c>
      <c r="D29" s="72">
        <f>+'P&amp;L'!C36</f>
        <v>9.3441023432813193</v>
      </c>
      <c r="E29" s="72">
        <f>+'P&amp;L'!D36</f>
        <v>10.681183563585954</v>
      </c>
      <c r="F29" s="72">
        <f>+'P&amp;L'!E36</f>
        <v>13.219957917077755</v>
      </c>
      <c r="G29" s="72">
        <f>+'P&amp;L'!F36</f>
        <v>16.693739107009783</v>
      </c>
      <c r="H29" s="72">
        <f>+'P&amp;L'!G36</f>
        <v>18.839133723141483</v>
      </c>
      <c r="I29" s="72">
        <f>+'P&amp;L'!H36</f>
        <v>22.850009790067368</v>
      </c>
      <c r="J29" s="72">
        <f>+'P&amp;L'!I36</f>
        <v>26.322945464102801</v>
      </c>
      <c r="K29" s="72">
        <f>+'P&amp;L'!J36</f>
        <v>32.930195883764256</v>
      </c>
      <c r="L29" s="72">
        <f>+'P&amp;L'!K36</f>
        <v>37.56277833134763</v>
      </c>
    </row>
    <row r="30" spans="1:12" x14ac:dyDescent="0.25">
      <c r="A30" s="36" t="s">
        <v>355</v>
      </c>
      <c r="B30" s="36"/>
      <c r="C30" s="72">
        <f>SUM(C36:C40)</f>
        <v>20.42620609375</v>
      </c>
      <c r="D30" s="72">
        <f t="shared" ref="D30:L30" si="3">SUM(D36:D40)</f>
        <v>21.455931264062503</v>
      </c>
      <c r="E30" s="72">
        <f t="shared" si="3"/>
        <v>22.485003587734372</v>
      </c>
      <c r="F30" s="72">
        <f t="shared" si="3"/>
        <v>23.426343145246097</v>
      </c>
      <c r="G30" s="72">
        <f t="shared" si="3"/>
        <v>24.573135777039649</v>
      </c>
      <c r="H30" s="72">
        <f t="shared" si="3"/>
        <v>25.702142983079135</v>
      </c>
      <c r="I30" s="72">
        <f t="shared" si="3"/>
        <v>26.935245456764342</v>
      </c>
      <c r="J30" s="72">
        <f t="shared" si="3"/>
        <v>28.22736870772756</v>
      </c>
      <c r="K30" s="72">
        <f t="shared" si="3"/>
        <v>29.643034934832688</v>
      </c>
      <c r="L30" s="72">
        <f t="shared" si="3"/>
        <v>31.115690886261824</v>
      </c>
    </row>
    <row r="31" spans="1:12" x14ac:dyDescent="0.25">
      <c r="A31" s="36"/>
      <c r="B31" s="36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2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spans="1:12" x14ac:dyDescent="0.25">
      <c r="A33" s="36" t="s">
        <v>354</v>
      </c>
      <c r="B33" s="36"/>
      <c r="C33" s="72">
        <f>SUM(C29:C32)</f>
        <v>26.021000000000001</v>
      </c>
      <c r="D33" s="72">
        <f t="shared" ref="D33:L33" si="4">SUM(D29:D32)</f>
        <v>30.800033607343821</v>
      </c>
      <c r="E33" s="72">
        <f t="shared" si="4"/>
        <v>33.166187151320329</v>
      </c>
      <c r="F33" s="72">
        <f t="shared" si="4"/>
        <v>36.64630106232385</v>
      </c>
      <c r="G33" s="72">
        <f t="shared" si="4"/>
        <v>41.266874884049429</v>
      </c>
      <c r="H33" s="72">
        <f t="shared" si="4"/>
        <v>44.541276706220614</v>
      </c>
      <c r="I33" s="72">
        <f t="shared" si="4"/>
        <v>49.78525524683171</v>
      </c>
      <c r="J33" s="72">
        <f t="shared" si="4"/>
        <v>54.550314171830365</v>
      </c>
      <c r="K33" s="72">
        <f t="shared" si="4"/>
        <v>62.57323081859694</v>
      </c>
      <c r="L33" s="72">
        <f t="shared" si="4"/>
        <v>68.678469217609461</v>
      </c>
    </row>
    <row r="34" spans="1:12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</row>
    <row r="35" spans="1:12" x14ac:dyDescent="0.25">
      <c r="A35" s="26" t="s">
        <v>355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12" x14ac:dyDescent="0.25">
      <c r="A36" s="36" t="s">
        <v>438</v>
      </c>
      <c r="B36" s="36"/>
      <c r="C36" s="73">
        <f>'P&amp;L'!B23</f>
        <v>13.976649999999999</v>
      </c>
      <c r="D36" s="73">
        <f>'P&amp;L'!C23</f>
        <v>14.670482500000002</v>
      </c>
      <c r="E36" s="73">
        <f>'P&amp;L'!D23</f>
        <v>15.399006625</v>
      </c>
      <c r="F36" s="73">
        <f>'P&amp;L'!E23</f>
        <v>16.163956956250004</v>
      </c>
      <c r="G36" s="73">
        <f>'P&amp;L'!F23</f>
        <v>16.967154804062503</v>
      </c>
      <c r="H36" s="73">
        <f>'P&amp;L'!G23</f>
        <v>17.810512544265631</v>
      </c>
      <c r="I36" s="73">
        <f>'P&amp;L'!H23</f>
        <v>18.696038171478911</v>
      </c>
      <c r="J36" s="73">
        <f>'P&amp;L'!I23</f>
        <v>19.625840080052857</v>
      </c>
      <c r="K36" s="73">
        <f>'P&amp;L'!J23</f>
        <v>20.602132084055501</v>
      </c>
      <c r="L36" s="73">
        <f>'P&amp;L'!K23</f>
        <v>21.627238688258277</v>
      </c>
    </row>
    <row r="37" spans="1:12" x14ac:dyDescent="0.25">
      <c r="A37" s="36" t="s">
        <v>439</v>
      </c>
      <c r="B37" s="36"/>
      <c r="C37" s="73">
        <f>'P&amp;L'!B30</f>
        <v>0</v>
      </c>
      <c r="D37" s="73">
        <f>'P&amp;L'!C30</f>
        <v>0</v>
      </c>
      <c r="E37" s="73">
        <f>'P&amp;L'!D30</f>
        <v>0</v>
      </c>
      <c r="F37" s="73">
        <f>'P&amp;L'!E30</f>
        <v>0</v>
      </c>
      <c r="G37" s="73">
        <f>'P&amp;L'!F30</f>
        <v>0</v>
      </c>
      <c r="H37" s="73">
        <f>'P&amp;L'!G30</f>
        <v>0</v>
      </c>
      <c r="I37" s="73">
        <f>'P&amp;L'!H30</f>
        <v>0</v>
      </c>
      <c r="J37" s="73">
        <f>'P&amp;L'!I30</f>
        <v>0</v>
      </c>
      <c r="K37" s="73">
        <f>'P&amp;L'!J30</f>
        <v>0</v>
      </c>
      <c r="L37" s="73">
        <f>'P&amp;L'!K30</f>
        <v>0</v>
      </c>
    </row>
    <row r="38" spans="1:12" x14ac:dyDescent="0.25">
      <c r="A38" s="36" t="s">
        <v>440</v>
      </c>
      <c r="B38" s="36"/>
      <c r="C38" s="73">
        <f>'P&amp;L'!B31</f>
        <v>1.2678150937500001</v>
      </c>
      <c r="D38" s="73">
        <f>'P&amp;L'!C31</f>
        <v>1.6037077640625004</v>
      </c>
      <c r="E38" s="73">
        <f>'P&amp;L'!D31</f>
        <v>1.9042559627343749</v>
      </c>
      <c r="F38" s="73">
        <f>'P&amp;L'!E31</f>
        <v>2.080645188996094</v>
      </c>
      <c r="G38" s="73">
        <f>'P&amp;L'!F31</f>
        <v>2.4242399729771482</v>
      </c>
      <c r="H38" s="73">
        <f>'P&amp;L'!G31</f>
        <v>2.709889438813506</v>
      </c>
      <c r="I38" s="73">
        <f>'P&amp;L'!H31</f>
        <v>3.0574662852854311</v>
      </c>
      <c r="J38" s="73">
        <f>'P&amp;L'!I31</f>
        <v>3.4197876276747032</v>
      </c>
      <c r="K38" s="73">
        <f>'P&amp;L'!J31</f>
        <v>3.859161850777189</v>
      </c>
      <c r="L38" s="73">
        <f>'P&amp;L'!K31</f>
        <v>4.3067111980035477</v>
      </c>
    </row>
    <row r="39" spans="1:12" x14ac:dyDescent="0.25">
      <c r="A39" s="36" t="s">
        <v>360</v>
      </c>
      <c r="B39" s="36"/>
      <c r="C39" s="73">
        <f>'P&amp;L'!B32</f>
        <v>4.7021909999999991</v>
      </c>
      <c r="D39" s="73">
        <f>'P&amp;L'!C32</f>
        <v>4.7021909999999991</v>
      </c>
      <c r="E39" s="73">
        <f>'P&amp;L'!D32</f>
        <v>4.7021909999999991</v>
      </c>
      <c r="F39" s="73">
        <f>'P&amp;L'!E32</f>
        <v>4.7021909999999991</v>
      </c>
      <c r="G39" s="73">
        <f>'P&amp;L'!F32</f>
        <v>4.7021909999999991</v>
      </c>
      <c r="H39" s="73">
        <f>'P&amp;L'!G32</f>
        <v>4.7021909999999991</v>
      </c>
      <c r="I39" s="73">
        <f>'P&amp;L'!H32</f>
        <v>4.7021909999999991</v>
      </c>
      <c r="J39" s="73">
        <f>'P&amp;L'!I32</f>
        <v>4.7021909999999991</v>
      </c>
      <c r="K39" s="73">
        <f>'P&amp;L'!J32</f>
        <v>4.7021909999999991</v>
      </c>
      <c r="L39" s="73">
        <f>'P&amp;L'!K32</f>
        <v>4.7021909999999991</v>
      </c>
    </row>
    <row r="40" spans="1:12" x14ac:dyDescent="0.25">
      <c r="A40" s="36" t="s">
        <v>441</v>
      </c>
      <c r="B40" s="36"/>
      <c r="C40" s="73">
        <f>'P&amp;L'!B27</f>
        <v>0.47954999999999998</v>
      </c>
      <c r="D40" s="73">
        <f>'P&amp;L'!C27</f>
        <v>0.47954999999999998</v>
      </c>
      <c r="E40" s="73">
        <f>'P&amp;L'!D27</f>
        <v>0.47954999999999998</v>
      </c>
      <c r="F40" s="73">
        <f>'P&amp;L'!E27</f>
        <v>0.47954999999999998</v>
      </c>
      <c r="G40" s="73">
        <f>'P&amp;L'!F27</f>
        <v>0.47954999999999998</v>
      </c>
      <c r="H40" s="73">
        <f>'P&amp;L'!G27</f>
        <v>0.47954999999999998</v>
      </c>
      <c r="I40" s="73">
        <f>'P&amp;L'!H27</f>
        <v>0.47954999999999998</v>
      </c>
      <c r="J40" s="73">
        <f>'P&amp;L'!I27</f>
        <v>0.47954999999999998</v>
      </c>
      <c r="K40" s="73">
        <f>'P&amp;L'!J27</f>
        <v>0.47954999999999998</v>
      </c>
      <c r="L40" s="73">
        <f>'P&amp;L'!K27</f>
        <v>0.47954999999999998</v>
      </c>
    </row>
    <row r="41" spans="1:12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x14ac:dyDescent="0.25">
      <c r="A42" s="36" t="s">
        <v>356</v>
      </c>
      <c r="B42" s="36"/>
      <c r="C42" s="122">
        <f>(C36+C37+C38+C39+C40)/C33</f>
        <v>0.78498928149379343</v>
      </c>
      <c r="D42" s="122">
        <f t="shared" ref="D42:L42" si="5">(D36+D37+D38+D39+D40)/D33</f>
        <v>0.69662038482148436</v>
      </c>
      <c r="E42" s="122">
        <f t="shared" si="5"/>
        <v>0.67794960829072137</v>
      </c>
      <c r="F42" s="122">
        <f t="shared" si="5"/>
        <v>0.63925532635354498</v>
      </c>
      <c r="G42" s="122">
        <f t="shared" si="5"/>
        <v>0.59546878328161734</v>
      </c>
      <c r="H42" s="122">
        <f t="shared" si="5"/>
        <v>0.57704100294659011</v>
      </c>
      <c r="I42" s="122">
        <f t="shared" si="5"/>
        <v>0.54102857007002048</v>
      </c>
      <c r="J42" s="122">
        <f t="shared" si="5"/>
        <v>0.51745565788700987</v>
      </c>
      <c r="K42" s="122">
        <f t="shared" si="5"/>
        <v>0.47373348869853615</v>
      </c>
      <c r="L42" s="122">
        <f t="shared" si="5"/>
        <v>0.4530632560791501</v>
      </c>
    </row>
    <row r="43" spans="1:12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2" x14ac:dyDescent="0.25">
      <c r="A44" s="135" t="s">
        <v>357</v>
      </c>
      <c r="B44" s="135"/>
      <c r="C44" s="136">
        <f>AVERAGE(C42:L42)</f>
        <v>0.59566053599224678</v>
      </c>
      <c r="D44" s="36"/>
      <c r="E44" s="36"/>
      <c r="F44" s="36"/>
      <c r="G44" s="36"/>
      <c r="H44" s="36"/>
      <c r="I44" s="36"/>
      <c r="J44" s="36"/>
      <c r="K44" s="36"/>
      <c r="L44" s="36"/>
    </row>
    <row r="45" spans="1:12" x14ac:dyDescent="0.25">
      <c r="A45" s="118"/>
      <c r="B45" s="118"/>
      <c r="C45" s="118"/>
    </row>
    <row r="46" spans="1:12" hidden="1" x14ac:dyDescent="0.25">
      <c r="A46" s="137" t="s">
        <v>442</v>
      </c>
      <c r="B46" s="137" t="s">
        <v>465</v>
      </c>
      <c r="C46" s="137"/>
    </row>
    <row r="47" spans="1:12" hidden="1" x14ac:dyDescent="0.25">
      <c r="A47" s="118"/>
      <c r="B47" s="118"/>
      <c r="C47" s="118"/>
    </row>
    <row r="49" spans="1:12" x14ac:dyDescent="0.25">
      <c r="A49" s="15" t="s">
        <v>358</v>
      </c>
      <c r="B49" s="16"/>
      <c r="C49" s="46" t="s">
        <v>36</v>
      </c>
      <c r="D49" s="46" t="s">
        <v>37</v>
      </c>
      <c r="E49" s="46" t="s">
        <v>38</v>
      </c>
      <c r="F49" s="46" t="s">
        <v>39</v>
      </c>
      <c r="G49" s="46" t="s">
        <v>40</v>
      </c>
      <c r="H49" s="46" t="s">
        <v>41</v>
      </c>
      <c r="I49" s="46" t="s">
        <v>42</v>
      </c>
      <c r="J49" s="46" t="s">
        <v>495</v>
      </c>
      <c r="K49" s="46" t="s">
        <v>496</v>
      </c>
      <c r="L49" s="46" t="s">
        <v>497</v>
      </c>
    </row>
    <row r="50" spans="1:12" x14ac:dyDescent="0.25">
      <c r="A50" s="36" t="s">
        <v>359</v>
      </c>
      <c r="B50" s="36"/>
      <c r="C50" s="72">
        <f>'P&amp;L'!B36</f>
        <v>5.5947939062500023</v>
      </c>
      <c r="D50" s="72">
        <f>'P&amp;L'!C36</f>
        <v>9.3441023432813193</v>
      </c>
      <c r="E50" s="72">
        <f>'P&amp;L'!D36</f>
        <v>10.681183563585954</v>
      </c>
      <c r="F50" s="72">
        <f>'P&amp;L'!E36</f>
        <v>13.219957917077755</v>
      </c>
      <c r="G50" s="72">
        <f>'P&amp;L'!F36</f>
        <v>16.693739107009783</v>
      </c>
      <c r="H50" s="72">
        <f>'P&amp;L'!G36</f>
        <v>18.839133723141483</v>
      </c>
      <c r="I50" s="72">
        <f>'P&amp;L'!H36</f>
        <v>22.850009790067368</v>
      </c>
      <c r="J50" s="72">
        <f>'P&amp;L'!I36</f>
        <v>26.322945464102801</v>
      </c>
      <c r="K50" s="72">
        <f>'P&amp;L'!J36</f>
        <v>32.930195883764256</v>
      </c>
      <c r="L50" s="72">
        <f>'P&amp;L'!K36</f>
        <v>37.56277833134763</v>
      </c>
    </row>
    <row r="51" spans="1:12" x14ac:dyDescent="0.25">
      <c r="A51" s="36" t="s">
        <v>360</v>
      </c>
      <c r="B51" s="36"/>
      <c r="C51" s="72">
        <f>'P&amp;L'!B32</f>
        <v>4.7021909999999991</v>
      </c>
      <c r="D51" s="72">
        <f>'P&amp;L'!C32</f>
        <v>4.7021909999999991</v>
      </c>
      <c r="E51" s="72">
        <f>'P&amp;L'!D32</f>
        <v>4.7021909999999991</v>
      </c>
      <c r="F51" s="72">
        <f>'P&amp;L'!E32</f>
        <v>4.7021909999999991</v>
      </c>
      <c r="G51" s="72">
        <f>'P&amp;L'!F32</f>
        <v>4.7021909999999991</v>
      </c>
      <c r="H51" s="72">
        <f>'P&amp;L'!G32</f>
        <v>4.7021909999999991</v>
      </c>
      <c r="I51" s="72">
        <f>'P&amp;L'!H32</f>
        <v>4.7021909999999991</v>
      </c>
      <c r="J51" s="72">
        <f>'P&amp;L'!I32</f>
        <v>4.7021909999999991</v>
      </c>
      <c r="K51" s="72">
        <f>'P&amp;L'!J32</f>
        <v>4.7021909999999991</v>
      </c>
      <c r="L51" s="72">
        <f>'P&amp;L'!K32</f>
        <v>4.7021909999999991</v>
      </c>
    </row>
    <row r="52" spans="1:12" x14ac:dyDescent="0.25">
      <c r="A52" s="36" t="s">
        <v>361</v>
      </c>
      <c r="B52" s="36"/>
      <c r="C52" s="72">
        <f>'P&amp;L'!B30</f>
        <v>0</v>
      </c>
      <c r="D52" s="72">
        <f>'P&amp;L'!C30</f>
        <v>0</v>
      </c>
      <c r="E52" s="72">
        <f>'P&amp;L'!D30</f>
        <v>0</v>
      </c>
      <c r="F52" s="72">
        <f>'P&amp;L'!E30</f>
        <v>0</v>
      </c>
      <c r="G52" s="72">
        <f>'P&amp;L'!F30</f>
        <v>0</v>
      </c>
      <c r="H52" s="72">
        <f>'P&amp;L'!G30</f>
        <v>0</v>
      </c>
      <c r="I52" s="72">
        <f>'P&amp;L'!H30</f>
        <v>0</v>
      </c>
      <c r="J52" s="72">
        <f>'P&amp;L'!I30</f>
        <v>0</v>
      </c>
      <c r="K52" s="72">
        <f>'P&amp;L'!J30</f>
        <v>0</v>
      </c>
      <c r="L52" s="72">
        <f>'P&amp;L'!K30</f>
        <v>0</v>
      </c>
    </row>
    <row r="53" spans="1:12" x14ac:dyDescent="0.25">
      <c r="A53" s="36" t="s">
        <v>441</v>
      </c>
      <c r="B53" s="36"/>
      <c r="C53" s="72">
        <f>'P&amp;L'!B27</f>
        <v>0.47954999999999998</v>
      </c>
      <c r="D53" s="72">
        <f>'P&amp;L'!C27</f>
        <v>0.47954999999999998</v>
      </c>
      <c r="E53" s="72">
        <f>'P&amp;L'!D27</f>
        <v>0.47954999999999998</v>
      </c>
      <c r="F53" s="72">
        <f>'P&amp;L'!E27</f>
        <v>0.47954999999999998</v>
      </c>
      <c r="G53" s="72">
        <f>'P&amp;L'!F27</f>
        <v>0.47954999999999998</v>
      </c>
      <c r="H53" s="72">
        <f>'P&amp;L'!G27</f>
        <v>0.47954999999999998</v>
      </c>
      <c r="I53" s="72">
        <f>'P&amp;L'!H27</f>
        <v>0.47954999999999998</v>
      </c>
      <c r="J53" s="72">
        <f>'P&amp;L'!I27</f>
        <v>0.47954999999999998</v>
      </c>
      <c r="K53" s="72">
        <f>'P&amp;L'!J27</f>
        <v>0.47954999999999998</v>
      </c>
      <c r="L53" s="72">
        <f>'P&amp;L'!K27</f>
        <v>0.47954999999999998</v>
      </c>
    </row>
    <row r="54" spans="1:12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1:12" x14ac:dyDescent="0.25">
      <c r="A55" s="36" t="s">
        <v>362</v>
      </c>
      <c r="B55" s="36"/>
      <c r="C55" s="72">
        <f>SUM(C50:C54)</f>
        <v>10.776534906250001</v>
      </c>
      <c r="D55" s="72">
        <f t="shared" ref="D55:I55" si="6">SUM(D50:D54)</f>
        <v>14.525843343281318</v>
      </c>
      <c r="E55" s="72">
        <f t="shared" si="6"/>
        <v>15.862924563585953</v>
      </c>
      <c r="F55" s="72">
        <f t="shared" si="6"/>
        <v>18.401698917077756</v>
      </c>
      <c r="G55" s="72">
        <f t="shared" si="6"/>
        <v>21.875480107009782</v>
      </c>
      <c r="H55" s="72">
        <f t="shared" si="6"/>
        <v>24.020874723141482</v>
      </c>
      <c r="I55" s="72">
        <f t="shared" si="6"/>
        <v>28.031750790067367</v>
      </c>
      <c r="J55" s="72">
        <f t="shared" ref="J55:L55" si="7">SUM(J50:J54)</f>
        <v>31.5046864641028</v>
      </c>
      <c r="K55" s="72">
        <f t="shared" si="7"/>
        <v>38.111936883764258</v>
      </c>
      <c r="L55" s="72">
        <f t="shared" si="7"/>
        <v>42.744519331347632</v>
      </c>
    </row>
    <row r="56" spans="1:12" x14ac:dyDescent="0.25">
      <c r="A56" s="36" t="s">
        <v>363</v>
      </c>
      <c r="B56" s="36"/>
      <c r="C56" s="73">
        <f>'TL Schedule'!C5+'TL Schedule'!C6</f>
        <v>0</v>
      </c>
      <c r="D56" s="73">
        <f>'TL Schedule'!D5+'TL Schedule'!D6</f>
        <v>0</v>
      </c>
      <c r="E56" s="73">
        <f>'TL Schedule'!E5+'TL Schedule'!E6</f>
        <v>0</v>
      </c>
      <c r="F56" s="73">
        <f>'TL Schedule'!F5+'TL Schedule'!F6</f>
        <v>0</v>
      </c>
      <c r="G56" s="73">
        <f>'TL Schedule'!G5+'TL Schedule'!G6</f>
        <v>0</v>
      </c>
      <c r="H56" s="73">
        <f>'TL Schedule'!H5+'TL Schedule'!H6</f>
        <v>0</v>
      </c>
      <c r="I56" s="73">
        <f>'TL Schedule'!I5+'TL Schedule'!I6</f>
        <v>0</v>
      </c>
      <c r="J56" s="73">
        <f>'TL Schedule'!J5+'TL Schedule'!J6</f>
        <v>0</v>
      </c>
      <c r="K56" s="73">
        <f>'TL Schedule'!K5+'TL Schedule'!K6</f>
        <v>0</v>
      </c>
      <c r="L56" s="73">
        <f>'TL Schedule'!L5+'TL Schedule'!L6</f>
        <v>0</v>
      </c>
    </row>
    <row r="57" spans="1:1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2" x14ac:dyDescent="0.25">
      <c r="A58" s="123" t="s">
        <v>358</v>
      </c>
      <c r="B58" s="123"/>
      <c r="C58" s="124" t="e">
        <f>C55/C56</f>
        <v>#DIV/0!</v>
      </c>
      <c r="D58" s="124" t="e">
        <f t="shared" ref="D58:H58" si="8">D55/D56</f>
        <v>#DIV/0!</v>
      </c>
      <c r="E58" s="124" t="e">
        <f t="shared" si="8"/>
        <v>#DIV/0!</v>
      </c>
      <c r="F58" s="124" t="e">
        <f t="shared" si="8"/>
        <v>#DIV/0!</v>
      </c>
      <c r="G58" s="124" t="e">
        <f t="shared" si="8"/>
        <v>#DIV/0!</v>
      </c>
      <c r="H58" s="124" t="e">
        <f t="shared" si="8"/>
        <v>#DIV/0!</v>
      </c>
      <c r="I58" s="124">
        <v>0</v>
      </c>
      <c r="J58" s="124">
        <v>0</v>
      </c>
      <c r="K58" s="124">
        <v>0</v>
      </c>
      <c r="L58" s="124">
        <v>0</v>
      </c>
    </row>
    <row r="59" spans="1:1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</row>
    <row r="60" spans="1:12" x14ac:dyDescent="0.25">
      <c r="A60" s="123" t="s">
        <v>364</v>
      </c>
      <c r="B60" s="123"/>
      <c r="C60" s="124" t="e">
        <f>AVERAGE(C58:H58)</f>
        <v>#DIV/0!</v>
      </c>
      <c r="D60" s="36"/>
      <c r="E60" s="36"/>
      <c r="F60" s="36"/>
      <c r="G60" s="36"/>
      <c r="H60" s="36"/>
      <c r="I60" s="36"/>
      <c r="J60" s="36"/>
      <c r="K60" s="36"/>
      <c r="L60" s="36"/>
    </row>
  </sheetData>
  <pageMargins left="0.7" right="0.7" top="0.75" bottom="0.75" header="0.3" footer="0.3"/>
  <pageSetup orientation="portrait" r:id="rId1"/>
  <colBreaks count="1" manualBreakCount="1">
    <brk id="4" max="59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0" zoomScaleNormal="80" workbookViewId="0">
      <selection activeCell="B18" sqref="B18"/>
    </sheetView>
  </sheetViews>
  <sheetFormatPr defaultColWidth="9.140625" defaultRowHeight="15" x14ac:dyDescent="0.25"/>
  <cols>
    <col min="1" max="1" width="8.7109375" style="1" bestFit="1" customWidth="1"/>
    <col min="2" max="2" width="77" style="1" bestFit="1" customWidth="1"/>
    <col min="3" max="3" width="9.5703125" style="60" bestFit="1" customWidth="1"/>
    <col min="4" max="10" width="11.28515625" style="1" bestFit="1" customWidth="1"/>
    <col min="11" max="16384" width="9.140625" style="1"/>
  </cols>
  <sheetData>
    <row r="1" spans="1:10" x14ac:dyDescent="0.25">
      <c r="A1" s="16"/>
      <c r="B1" s="16"/>
      <c r="C1" s="46"/>
      <c r="D1" s="388"/>
      <c r="E1" s="388"/>
      <c r="F1" s="388"/>
      <c r="G1" s="388"/>
      <c r="H1" s="388"/>
      <c r="I1" s="388"/>
      <c r="J1" s="389"/>
    </row>
    <row r="2" spans="1:10" x14ac:dyDescent="0.25">
      <c r="A2" s="191" t="s">
        <v>466</v>
      </c>
      <c r="B2" s="191" t="s">
        <v>1</v>
      </c>
      <c r="C2" s="192" t="s">
        <v>467</v>
      </c>
      <c r="D2" s="192" t="s">
        <v>473</v>
      </c>
      <c r="E2" s="192" t="s">
        <v>37</v>
      </c>
      <c r="F2" s="46" t="s">
        <v>38</v>
      </c>
      <c r="G2" s="192" t="s">
        <v>39</v>
      </c>
      <c r="H2" s="192" t="s">
        <v>40</v>
      </c>
      <c r="I2" s="46" t="s">
        <v>41</v>
      </c>
      <c r="J2" s="192" t="s">
        <v>42</v>
      </c>
    </row>
    <row r="3" spans="1:10" x14ac:dyDescent="0.25">
      <c r="A3" s="6"/>
      <c r="B3" s="6"/>
      <c r="C3" s="43"/>
      <c r="D3" s="6"/>
      <c r="E3" s="6"/>
      <c r="F3" s="6"/>
      <c r="G3" s="6"/>
      <c r="H3" s="6"/>
      <c r="I3" s="6"/>
      <c r="J3" s="6"/>
    </row>
    <row r="4" spans="1:10" x14ac:dyDescent="0.25">
      <c r="A4" s="6"/>
      <c r="B4" s="8" t="s">
        <v>472</v>
      </c>
      <c r="C4" s="43">
        <v>1000</v>
      </c>
      <c r="D4" s="9">
        <f>'P&amp;L'!B36*100000/('Output Schedule'!B12+'Output Schedule'!B17)</f>
        <v>932.465651041667</v>
      </c>
      <c r="E4" s="9">
        <f>'P&amp;L'!C36*100000/('Output Schedule'!C12+'Output Schedule'!C17)</f>
        <v>1415.7730823153513</v>
      </c>
      <c r="F4" s="9">
        <f>'P&amp;L'!D36*100000/('Output Schedule'!D12+'Output Schedule'!D17)</f>
        <v>1483.4977171647158</v>
      </c>
      <c r="G4" s="9">
        <f>'P&amp;L'!E36*100000/('Output Schedule'!E12+'Output Schedule'!E17)</f>
        <v>1694.8663996253531</v>
      </c>
      <c r="H4" s="9">
        <f>'P&amp;L'!F36*100000/('Output Schedule'!F12+'Output Schedule'!F17)</f>
        <v>1987.3498936916405</v>
      </c>
      <c r="I4" s="9">
        <f>'P&amp;L'!G36*100000/('Output Schedule'!G12+'Output Schedule'!G17)</f>
        <v>2093.2370803490535</v>
      </c>
      <c r="J4" s="9">
        <f>'P&amp;L'!H36*100000/('Output Schedule'!H12+'Output Schedule'!H17)</f>
        <v>2380.209353132017</v>
      </c>
    </row>
    <row r="5" spans="1:10" x14ac:dyDescent="0.25">
      <c r="A5" s="6"/>
      <c r="B5" s="83" t="s">
        <v>486</v>
      </c>
      <c r="C5" s="189"/>
      <c r="D5" s="11">
        <f>D4</f>
        <v>932.465651041667</v>
      </c>
      <c r="E5" s="11">
        <f t="shared" ref="E5:J5" si="0">E4</f>
        <v>1415.7730823153513</v>
      </c>
      <c r="F5" s="11">
        <f t="shared" si="0"/>
        <v>1483.4977171647158</v>
      </c>
      <c r="G5" s="11">
        <f t="shared" si="0"/>
        <v>1694.8663996253531</v>
      </c>
      <c r="H5" s="11">
        <f t="shared" si="0"/>
        <v>1987.3498936916405</v>
      </c>
      <c r="I5" s="11">
        <f t="shared" si="0"/>
        <v>2093.2370803490535</v>
      </c>
      <c r="J5" s="11">
        <f t="shared" si="0"/>
        <v>2380.209353132017</v>
      </c>
    </row>
    <row r="6" spans="1:10" x14ac:dyDescent="0.25">
      <c r="A6" s="6"/>
      <c r="B6" s="6"/>
      <c r="C6" s="43"/>
      <c r="D6" s="6"/>
      <c r="E6" s="6"/>
      <c r="F6" s="6"/>
      <c r="G6" s="6"/>
      <c r="H6" s="6"/>
      <c r="I6" s="6"/>
      <c r="J6" s="6"/>
    </row>
    <row r="7" spans="1:10" x14ac:dyDescent="0.25">
      <c r="A7" s="193"/>
      <c r="B7" s="194"/>
      <c r="C7" s="195"/>
      <c r="D7" s="196"/>
      <c r="E7" s="196"/>
      <c r="F7" s="196"/>
      <c r="G7" s="196"/>
      <c r="H7" s="196"/>
      <c r="I7" s="196"/>
      <c r="J7" s="196"/>
    </row>
    <row r="8" spans="1:10" x14ac:dyDescent="0.25">
      <c r="A8" s="6"/>
      <c r="B8" s="8"/>
      <c r="C8" s="43"/>
      <c r="D8" s="11"/>
      <c r="E8" s="6"/>
      <c r="F8" s="6"/>
      <c r="G8" s="6"/>
      <c r="H8" s="6"/>
      <c r="I8" s="6"/>
      <c r="J8" s="6"/>
    </row>
    <row r="9" spans="1:10" x14ac:dyDescent="0.25">
      <c r="A9" s="197"/>
      <c r="B9" s="198" t="s">
        <v>468</v>
      </c>
      <c r="C9" s="199"/>
      <c r="D9" s="197"/>
      <c r="E9" s="197"/>
      <c r="F9" s="197"/>
      <c r="G9" s="197"/>
      <c r="H9" s="197"/>
      <c r="I9" s="197"/>
      <c r="J9" s="197"/>
    </row>
    <row r="10" spans="1:10" x14ac:dyDescent="0.25">
      <c r="A10" s="6"/>
      <c r="B10" s="8"/>
      <c r="C10" s="43"/>
      <c r="D10" s="11"/>
      <c r="E10" s="6"/>
      <c r="F10" s="6"/>
      <c r="G10" s="6"/>
      <c r="H10" s="6"/>
      <c r="I10" s="6"/>
      <c r="J10" s="6"/>
    </row>
    <row r="11" spans="1:10" x14ac:dyDescent="0.25">
      <c r="A11" s="6"/>
      <c r="B11" s="8" t="s">
        <v>469</v>
      </c>
      <c r="C11" s="43"/>
      <c r="D11" s="11"/>
      <c r="E11" s="6"/>
      <c r="F11" s="6"/>
      <c r="G11" s="6"/>
      <c r="H11" s="6"/>
      <c r="I11" s="6"/>
      <c r="J11" s="6"/>
    </row>
    <row r="12" spans="1:10" x14ac:dyDescent="0.25">
      <c r="A12" s="6"/>
      <c r="B12" s="201" t="s">
        <v>470</v>
      </c>
      <c r="C12" s="43"/>
      <c r="D12" s="11">
        <f>D5*0.6</f>
        <v>559.47939062500018</v>
      </c>
      <c r="E12" s="11">
        <f t="shared" ref="E12:J12" si="1">E5*0.6</f>
        <v>849.46384938921074</v>
      </c>
      <c r="F12" s="11">
        <f t="shared" si="1"/>
        <v>890.09863029882945</v>
      </c>
      <c r="G12" s="11">
        <f t="shared" si="1"/>
        <v>1016.9198397752118</v>
      </c>
      <c r="H12" s="11">
        <f t="shared" si="1"/>
        <v>1192.4099362149843</v>
      </c>
      <c r="I12" s="11">
        <f t="shared" si="1"/>
        <v>1255.9422482094321</v>
      </c>
      <c r="J12" s="11">
        <f t="shared" si="1"/>
        <v>1428.1256118792101</v>
      </c>
    </row>
    <row r="13" spans="1:10" x14ac:dyDescent="0.25">
      <c r="A13" s="6"/>
      <c r="B13" s="201" t="s">
        <v>471</v>
      </c>
      <c r="C13" s="43"/>
      <c r="D13" s="11">
        <f>D5*0.4</f>
        <v>372.98626041666682</v>
      </c>
      <c r="E13" s="11">
        <f t="shared" ref="E13:J13" si="2">E5*0.4</f>
        <v>566.30923292614057</v>
      </c>
      <c r="F13" s="11">
        <f t="shared" si="2"/>
        <v>593.39908686588637</v>
      </c>
      <c r="G13" s="11">
        <f t="shared" si="2"/>
        <v>677.94655985014128</v>
      </c>
      <c r="H13" s="11">
        <f t="shared" si="2"/>
        <v>794.93995747665622</v>
      </c>
      <c r="I13" s="11">
        <f t="shared" si="2"/>
        <v>837.29483213962146</v>
      </c>
      <c r="J13" s="11">
        <f t="shared" si="2"/>
        <v>952.08374125280682</v>
      </c>
    </row>
    <row r="14" spans="1:10" x14ac:dyDescent="0.25">
      <c r="A14" s="6"/>
      <c r="B14" s="6"/>
      <c r="C14" s="43"/>
      <c r="D14" s="6"/>
      <c r="E14" s="6"/>
      <c r="F14" s="6"/>
      <c r="G14" s="6"/>
      <c r="H14" s="6"/>
      <c r="I14" s="6"/>
      <c r="J14" s="6"/>
    </row>
  </sheetData>
  <mergeCells count="1">
    <mergeCell ref="D1:J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B21" sqref="B21"/>
    </sheetView>
  </sheetViews>
  <sheetFormatPr defaultColWidth="9.140625" defaultRowHeight="15" x14ac:dyDescent="0.25"/>
  <cols>
    <col min="1" max="1" width="41.7109375" style="5" customWidth="1"/>
    <col min="2" max="2" width="13" style="1" bestFit="1" customWidth="1"/>
    <col min="3" max="8" width="10.85546875" style="1" customWidth="1"/>
    <col min="9" max="9" width="11.28515625" style="1" bestFit="1" customWidth="1"/>
    <col min="10" max="16384" width="9.140625" style="1"/>
  </cols>
  <sheetData>
    <row r="1" spans="1:8" x14ac:dyDescent="0.25">
      <c r="A1" s="203" t="s">
        <v>1</v>
      </c>
      <c r="B1" s="190" t="s">
        <v>36</v>
      </c>
      <c r="C1" s="190" t="s">
        <v>37</v>
      </c>
      <c r="D1" s="190" t="s">
        <v>38</v>
      </c>
      <c r="E1" s="190" t="s">
        <v>39</v>
      </c>
      <c r="F1" s="190" t="s">
        <v>40</v>
      </c>
      <c r="G1" s="190" t="s">
        <v>41</v>
      </c>
      <c r="H1" s="190" t="s">
        <v>42</v>
      </c>
    </row>
    <row r="2" spans="1:8" x14ac:dyDescent="0.25">
      <c r="A2" s="10"/>
      <c r="B2" s="6"/>
      <c r="C2" s="6"/>
      <c r="D2" s="6"/>
      <c r="E2" s="6"/>
      <c r="F2" s="6"/>
      <c r="G2" s="6"/>
      <c r="H2" s="6"/>
    </row>
    <row r="3" spans="1:8" x14ac:dyDescent="0.25">
      <c r="A3" s="83" t="s">
        <v>474</v>
      </c>
      <c r="B3" s="6"/>
      <c r="C3" s="6"/>
      <c r="D3" s="6"/>
      <c r="E3" s="6"/>
      <c r="F3" s="6"/>
      <c r="G3" s="6"/>
      <c r="H3" s="6"/>
    </row>
    <row r="4" spans="1:8" x14ac:dyDescent="0.25">
      <c r="A4" s="10" t="s">
        <v>475</v>
      </c>
      <c r="B4" s="204">
        <f>'Output Schedule'!B12+'Output Schedule'!B17</f>
        <v>600</v>
      </c>
      <c r="C4" s="204">
        <f>'Output Schedule'!C12+'Output Schedule'!C17</f>
        <v>660</v>
      </c>
      <c r="D4" s="204">
        <f>'Output Schedule'!D12+'Output Schedule'!D17</f>
        <v>720</v>
      </c>
      <c r="E4" s="204">
        <f>'Output Schedule'!E12+'Output Schedule'!E17</f>
        <v>780.00000000000011</v>
      </c>
      <c r="F4" s="204">
        <f>'Output Schedule'!F12+'Output Schedule'!F17</f>
        <v>840.00000000000011</v>
      </c>
      <c r="G4" s="204">
        <f>'Output Schedule'!G12+'Output Schedule'!G17</f>
        <v>900.00000000000011</v>
      </c>
      <c r="H4" s="204">
        <f>'Output Schedule'!H12+'Output Schedule'!H17</f>
        <v>960.00000000000023</v>
      </c>
    </row>
    <row r="5" spans="1:8" x14ac:dyDescent="0.25">
      <c r="A5" s="10" t="s">
        <v>476</v>
      </c>
      <c r="B5" s="19">
        <v>4.9190283400809713</v>
      </c>
      <c r="C5" s="6"/>
      <c r="D5" s="6"/>
      <c r="E5" s="6"/>
      <c r="F5" s="6"/>
      <c r="G5" s="6"/>
      <c r="H5" s="6"/>
    </row>
    <row r="6" spans="1:8" x14ac:dyDescent="0.25">
      <c r="A6" s="10" t="s">
        <v>488</v>
      </c>
      <c r="B6" s="9">
        <f t="shared" ref="B6:H6" si="0">B4/$B$5</f>
        <v>121.97530864197532</v>
      </c>
      <c r="C6" s="9">
        <f t="shared" si="0"/>
        <v>134.17283950617283</v>
      </c>
      <c r="D6" s="9">
        <f t="shared" si="0"/>
        <v>146.37037037037038</v>
      </c>
      <c r="E6" s="9">
        <f t="shared" si="0"/>
        <v>158.56790123456793</v>
      </c>
      <c r="F6" s="9">
        <f t="shared" si="0"/>
        <v>170.76543209876547</v>
      </c>
      <c r="G6" s="9">
        <f t="shared" si="0"/>
        <v>182.96296296296299</v>
      </c>
      <c r="H6" s="9">
        <f t="shared" si="0"/>
        <v>195.16049382716056</v>
      </c>
    </row>
    <row r="7" spans="1:8" x14ac:dyDescent="0.25">
      <c r="A7" s="10" t="s">
        <v>489</v>
      </c>
      <c r="B7" s="9">
        <f>B6/2.47</f>
        <v>49.382716049382715</v>
      </c>
      <c r="C7" s="9">
        <f t="shared" ref="C7:H7" si="1">C6/2.47</f>
        <v>54.32098765432098</v>
      </c>
      <c r="D7" s="9">
        <f t="shared" si="1"/>
        <v>59.25925925925926</v>
      </c>
      <c r="E7" s="9">
        <f t="shared" si="1"/>
        <v>64.197530864197532</v>
      </c>
      <c r="F7" s="9">
        <f t="shared" si="1"/>
        <v>69.135802469135811</v>
      </c>
      <c r="G7" s="9">
        <f t="shared" si="1"/>
        <v>74.074074074074076</v>
      </c>
      <c r="H7" s="9">
        <f t="shared" si="1"/>
        <v>79.01234567901237</v>
      </c>
    </row>
    <row r="8" spans="1:8" ht="30" x14ac:dyDescent="0.25">
      <c r="A8" s="205" t="s">
        <v>490</v>
      </c>
      <c r="B8" s="206">
        <f>ROUND(B7,0)</f>
        <v>49</v>
      </c>
      <c r="C8" s="206">
        <f t="shared" ref="C8:H8" si="2">ROUND(C7,0)</f>
        <v>54</v>
      </c>
      <c r="D8" s="206">
        <f t="shared" si="2"/>
        <v>59</v>
      </c>
      <c r="E8" s="206">
        <f t="shared" si="2"/>
        <v>64</v>
      </c>
      <c r="F8" s="206">
        <f t="shared" si="2"/>
        <v>69</v>
      </c>
      <c r="G8" s="206">
        <f t="shared" si="2"/>
        <v>74</v>
      </c>
      <c r="H8" s="206">
        <f t="shared" si="2"/>
        <v>79</v>
      </c>
    </row>
    <row r="9" spans="1:8" ht="30" x14ac:dyDescent="0.25">
      <c r="A9" s="205" t="s">
        <v>491</v>
      </c>
      <c r="B9" s="207">
        <f>'Benefit-FPO-Producer'!D13</f>
        <v>372.98626041666682</v>
      </c>
      <c r="C9" s="207">
        <f>'Benefit-FPO-Producer'!E13</f>
        <v>566.30923292614057</v>
      </c>
      <c r="D9" s="207">
        <f>'Benefit-FPO-Producer'!F13</f>
        <v>593.39908686588637</v>
      </c>
      <c r="E9" s="207">
        <f>'Benefit-FPO-Producer'!G13</f>
        <v>677.94655985014128</v>
      </c>
      <c r="F9" s="207">
        <f>'Benefit-FPO-Producer'!H13</f>
        <v>794.93995747665622</v>
      </c>
      <c r="G9" s="207">
        <f>'Benefit-FPO-Producer'!I13</f>
        <v>837.29483213962146</v>
      </c>
      <c r="H9" s="207">
        <f>'Benefit-FPO-Producer'!J13</f>
        <v>952.08374125280682</v>
      </c>
    </row>
    <row r="10" spans="1:8" ht="30.75" customHeight="1" x14ac:dyDescent="0.25">
      <c r="A10" s="202" t="s">
        <v>477</v>
      </c>
      <c r="B10" s="208">
        <f>B9*B4/100000</f>
        <v>2.2379175625000007</v>
      </c>
      <c r="C10" s="208">
        <f t="shared" ref="C10:H10" si="3">C9*C4/100000</f>
        <v>3.7376409373125279</v>
      </c>
      <c r="D10" s="208">
        <f t="shared" si="3"/>
        <v>4.2724734254343817</v>
      </c>
      <c r="E10" s="208">
        <f t="shared" si="3"/>
        <v>5.2879831668311033</v>
      </c>
      <c r="F10" s="208">
        <f t="shared" si="3"/>
        <v>6.6774956428039136</v>
      </c>
      <c r="G10" s="208">
        <f t="shared" si="3"/>
        <v>7.5356534892565943</v>
      </c>
      <c r="H10" s="208">
        <f t="shared" si="3"/>
        <v>9.1400039160269468</v>
      </c>
    </row>
    <row r="11" spans="1:8" x14ac:dyDescent="0.25">
      <c r="A11" s="83"/>
      <c r="B11" s="35"/>
      <c r="C11" s="35"/>
      <c r="D11" s="35"/>
      <c r="E11" s="35"/>
      <c r="F11" s="35"/>
      <c r="G11" s="35"/>
      <c r="H11" s="35"/>
    </row>
    <row r="12" spans="1:8" x14ac:dyDescent="0.25">
      <c r="A12" s="209" t="s">
        <v>484</v>
      </c>
      <c r="B12" s="210">
        <f>'Benefit-FPO-Producer'!D12</f>
        <v>559.47939062500018</v>
      </c>
      <c r="C12" s="210">
        <f>'Benefit-FPO-Producer'!E12</f>
        <v>849.46384938921074</v>
      </c>
      <c r="D12" s="210">
        <f>'Benefit-FPO-Producer'!F12</f>
        <v>890.09863029882945</v>
      </c>
      <c r="E12" s="210">
        <f>'Benefit-FPO-Producer'!G12</f>
        <v>1016.9198397752118</v>
      </c>
      <c r="F12" s="210">
        <f>'Benefit-FPO-Producer'!H12</f>
        <v>1192.4099362149843</v>
      </c>
      <c r="G12" s="210">
        <f>'Benefit-FPO-Producer'!I12</f>
        <v>1255.9422482094321</v>
      </c>
      <c r="H12" s="210">
        <f>'Benefit-FPO-Producer'!J12</f>
        <v>1428.1256118792101</v>
      </c>
    </row>
    <row r="13" spans="1:8" ht="30" x14ac:dyDescent="0.25">
      <c r="A13" s="211" t="s">
        <v>478</v>
      </c>
      <c r="B13" s="210">
        <f t="shared" ref="B13:H13" si="4">B4*B12/100000</f>
        <v>3.3568763437500007</v>
      </c>
      <c r="C13" s="210">
        <f t="shared" si="4"/>
        <v>5.6064614059687905</v>
      </c>
      <c r="D13" s="210">
        <f t="shared" si="4"/>
        <v>6.4087101381515721</v>
      </c>
      <c r="E13" s="210">
        <f t="shared" si="4"/>
        <v>7.9319747502466535</v>
      </c>
      <c r="F13" s="210">
        <f t="shared" si="4"/>
        <v>10.01624346420587</v>
      </c>
      <c r="G13" s="210">
        <f t="shared" si="4"/>
        <v>11.303480233884892</v>
      </c>
      <c r="H13" s="210">
        <f t="shared" si="4"/>
        <v>13.710005874040419</v>
      </c>
    </row>
    <row r="14" spans="1:8" x14ac:dyDescent="0.25">
      <c r="A14" s="10"/>
      <c r="B14" s="45"/>
      <c r="C14" s="45"/>
      <c r="D14" s="45"/>
      <c r="E14" s="6"/>
      <c r="F14" s="6"/>
      <c r="G14" s="6"/>
      <c r="H14" s="6"/>
    </row>
    <row r="15" spans="1:8" x14ac:dyDescent="0.25">
      <c r="A15" s="212"/>
      <c r="B15" s="213"/>
      <c r="C15" s="213"/>
      <c r="D15" s="213"/>
      <c r="E15" s="213"/>
      <c r="F15" s="213"/>
      <c r="G15" s="213"/>
      <c r="H15" s="213"/>
    </row>
    <row r="16" spans="1:8" ht="30" x14ac:dyDescent="0.25">
      <c r="A16" s="212" t="s">
        <v>485</v>
      </c>
      <c r="B16" s="213">
        <f>B13+B10</f>
        <v>5.5947939062500014</v>
      </c>
      <c r="C16" s="213">
        <f t="shared" ref="C16:H16" si="5">C13+C10</f>
        <v>9.3441023432813175</v>
      </c>
      <c r="D16" s="213">
        <f t="shared" si="5"/>
        <v>10.681183563585954</v>
      </c>
      <c r="E16" s="213">
        <f t="shared" si="5"/>
        <v>13.219957917077757</v>
      </c>
      <c r="F16" s="213">
        <f t="shared" si="5"/>
        <v>16.693739107009783</v>
      </c>
      <c r="G16" s="213">
        <f t="shared" si="5"/>
        <v>18.839133723141487</v>
      </c>
      <c r="H16" s="213">
        <f t="shared" si="5"/>
        <v>22.850009790067368</v>
      </c>
    </row>
    <row r="17" spans="1:8" x14ac:dyDescent="0.25">
      <c r="A17" s="214" t="s">
        <v>479</v>
      </c>
      <c r="B17" s="36">
        <f>1/1.09</f>
        <v>0.9174311926605504</v>
      </c>
      <c r="C17" s="36">
        <f>B17/1.09</f>
        <v>0.84167999326655996</v>
      </c>
      <c r="D17" s="36">
        <f t="shared" ref="D17:H17" si="6">C17/1.09</f>
        <v>0.77218348006106408</v>
      </c>
      <c r="E17" s="36">
        <f t="shared" si="6"/>
        <v>0.7084252110651964</v>
      </c>
      <c r="F17" s="36">
        <f t="shared" si="6"/>
        <v>0.64993138629834524</v>
      </c>
      <c r="G17" s="36">
        <f t="shared" si="6"/>
        <v>0.5962673268792158</v>
      </c>
      <c r="H17" s="36">
        <f t="shared" si="6"/>
        <v>0.5470342448433172</v>
      </c>
    </row>
    <row r="18" spans="1:8" x14ac:dyDescent="0.25">
      <c r="A18" s="33" t="s">
        <v>480</v>
      </c>
      <c r="B18" s="45">
        <f>B16*B17</f>
        <v>5.1328384461009184</v>
      </c>
      <c r="C18" s="45">
        <f t="shared" ref="C18:H18" si="7">C16*C17</f>
        <v>7.8647439973750668</v>
      </c>
      <c r="D18" s="45">
        <f t="shared" si="7"/>
        <v>8.2478334953008403</v>
      </c>
      <c r="E18" s="45">
        <f t="shared" si="7"/>
        <v>9.3653514776788249</v>
      </c>
      <c r="F18" s="45">
        <f t="shared" si="7"/>
        <v>10.849785000321768</v>
      </c>
      <c r="G18" s="45">
        <f t="shared" si="7"/>
        <v>11.233159905817663</v>
      </c>
      <c r="H18" s="45">
        <f t="shared" si="7"/>
        <v>12.499737850171908</v>
      </c>
    </row>
    <row r="19" spans="1:8" s="3" customFormat="1" ht="30" x14ac:dyDescent="0.25">
      <c r="A19" s="212" t="s">
        <v>481</v>
      </c>
      <c r="B19" s="11">
        <f>SUM(B18:H18)</f>
        <v>65.193450172766987</v>
      </c>
      <c r="C19" s="8"/>
      <c r="D19" s="8"/>
      <c r="E19" s="8"/>
      <c r="F19" s="8"/>
      <c r="G19" s="8"/>
      <c r="H19" s="8"/>
    </row>
    <row r="20" spans="1:8" x14ac:dyDescent="0.25">
      <c r="A20" s="10" t="s">
        <v>482</v>
      </c>
      <c r="B20" s="45">
        <f>'BEP &amp; DSCR'!C20</f>
        <v>105.40111145833333</v>
      </c>
      <c r="C20" s="6"/>
      <c r="D20" s="6"/>
      <c r="E20" s="6"/>
      <c r="F20" s="6"/>
      <c r="G20" s="6"/>
      <c r="H20" s="6"/>
    </row>
    <row r="21" spans="1:8" ht="33.75" customHeight="1" x14ac:dyDescent="0.25">
      <c r="A21" s="202" t="s">
        <v>487</v>
      </c>
      <c r="B21" s="200">
        <f>B19-B20</f>
        <v>-40.207661285566346</v>
      </c>
      <c r="C21" s="6"/>
      <c r="D21" s="6"/>
      <c r="E21" s="6"/>
      <c r="F21" s="6"/>
      <c r="G21" s="6"/>
      <c r="H21" s="6"/>
    </row>
    <row r="22" spans="1:8" x14ac:dyDescent="0.25">
      <c r="A22" s="202" t="s">
        <v>483</v>
      </c>
      <c r="B22" s="216">
        <f>IRR(A24:H24)</f>
        <v>-1.6622477392941093E-2</v>
      </c>
      <c r="C22" s="6"/>
      <c r="D22" s="6"/>
      <c r="E22" s="6"/>
      <c r="F22" s="6"/>
      <c r="G22" s="6"/>
      <c r="H22" s="6"/>
    </row>
    <row r="24" spans="1:8" x14ac:dyDescent="0.25">
      <c r="A24" s="215">
        <f>-B20</f>
        <v>-105.40111145833333</v>
      </c>
      <c r="B24" s="25">
        <f>B16</f>
        <v>5.5947939062500014</v>
      </c>
      <c r="C24" s="25">
        <f t="shared" ref="C24:H24" si="8">C16</f>
        <v>9.3441023432813175</v>
      </c>
      <c r="D24" s="25">
        <f t="shared" si="8"/>
        <v>10.681183563585954</v>
      </c>
      <c r="E24" s="25">
        <f t="shared" si="8"/>
        <v>13.219957917077757</v>
      </c>
      <c r="F24" s="25">
        <f t="shared" si="8"/>
        <v>16.693739107009783</v>
      </c>
      <c r="G24" s="25">
        <f t="shared" si="8"/>
        <v>18.839133723141487</v>
      </c>
      <c r="H24" s="25">
        <f t="shared" si="8"/>
        <v>22.850009790067368</v>
      </c>
    </row>
    <row r="26" spans="1:8" x14ac:dyDescent="0.25">
      <c r="B26" s="8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" sqref="B3"/>
    </sheetView>
  </sheetViews>
  <sheetFormatPr defaultRowHeight="15" x14ac:dyDescent="0.25"/>
  <cols>
    <col min="1" max="1" width="64.28515625" bestFit="1" customWidth="1"/>
    <col min="3" max="3" width="14.28515625" bestFit="1" customWidth="1"/>
  </cols>
  <sheetData>
    <row r="1" spans="1:7" x14ac:dyDescent="0.25">
      <c r="A1" s="248" t="s">
        <v>1</v>
      </c>
      <c r="B1" s="248" t="s">
        <v>197</v>
      </c>
      <c r="C1" s="248" t="s">
        <v>210</v>
      </c>
      <c r="D1" s="248" t="s">
        <v>223</v>
      </c>
      <c r="E1" s="248" t="s">
        <v>236</v>
      </c>
      <c r="F1" s="248" t="s">
        <v>249</v>
      </c>
      <c r="G1" s="248" t="s">
        <v>262</v>
      </c>
    </row>
    <row r="2" spans="1:7" x14ac:dyDescent="0.25">
      <c r="A2" s="249" t="s">
        <v>550</v>
      </c>
      <c r="B2" s="250">
        <f>'P&amp;L'!B9</f>
        <v>246.47500000000002</v>
      </c>
      <c r="C2" s="250">
        <f>'P&amp;L'!C9</f>
        <v>296.16562500000003</v>
      </c>
      <c r="D2" s="250">
        <f>'P&amp;L'!D9</f>
        <v>338.02150000000006</v>
      </c>
      <c r="E2" s="250">
        <f>'P&amp;L'!E9</f>
        <v>386.86797500000006</v>
      </c>
      <c r="F2" s="250">
        <f>'P&amp;L'!F9</f>
        <v>435.91835000000003</v>
      </c>
      <c r="G2" s="250">
        <f>'P&amp;L'!G9</f>
        <v>490.03427500000004</v>
      </c>
    </row>
    <row r="3" spans="1:7" x14ac:dyDescent="0.25">
      <c r="A3" s="249" t="s">
        <v>556</v>
      </c>
      <c r="B3" s="250">
        <f>'P&amp;L'!B14-'P&amp;L'!B9</f>
        <v>10.649999999999977</v>
      </c>
      <c r="C3" s="250">
        <f>'P&amp;L'!C14-'P&amp;L'!C9</f>
        <v>1.6350000000000477</v>
      </c>
      <c r="D3" s="250">
        <f>'P&amp;L'!D14-'P&amp;L'!D9</f>
        <v>2.4331999999999994</v>
      </c>
      <c r="E3" s="250">
        <f>'P&amp;L'!E14-'P&amp;L'!E9</f>
        <v>0.73629999999997153</v>
      </c>
      <c r="F3" s="250">
        <f>'P&amp;L'!F14-'P&amp;L'!F9</f>
        <v>2.7784000000000333</v>
      </c>
      <c r="G3" s="250">
        <f>'P&amp;L'!G14-'P&amp;L'!G9</f>
        <v>2.2521999999999593</v>
      </c>
    </row>
    <row r="4" spans="1:7" x14ac:dyDescent="0.25">
      <c r="A4" s="249" t="s">
        <v>551</v>
      </c>
      <c r="B4" s="251">
        <f>'P&amp;L'!B21+'P&amp;L'!B23+'P&amp;L'!B25-'Opex Schedule'!C19</f>
        <v>238.08664999999999</v>
      </c>
      <c r="C4" s="251">
        <f>'P&amp;L'!C21+'P&amp;L'!C23+'P&amp;L'!C25-'Opex Schedule'!D19</f>
        <v>274.09252249999997</v>
      </c>
      <c r="D4" s="251">
        <f>'P&amp;L'!D21+'P&amp;L'!D23+'P&amp;L'!D25-'Opex Schedule'!E19</f>
        <v>312.54597162500011</v>
      </c>
      <c r="E4" s="251">
        <f>'P&amp;L'!E21+'P&amp;L'!E23+'P&amp;L'!E25-'Opex Schedule'!F19</f>
        <v>354.99553020625001</v>
      </c>
      <c r="F4" s="251">
        <f>'P&amp;L'!F21+'P&amp;L'!F23+'P&amp;L'!F25-'Opex Schedule'!G19</f>
        <v>399.93605471656247</v>
      </c>
      <c r="G4" s="251">
        <f>'P&amp;L'!G21+'P&amp;L'!G23+'P&amp;L'!G25-'Opex Schedule'!H19</f>
        <v>449.36976745239065</v>
      </c>
    </row>
    <row r="5" spans="1:7" x14ac:dyDescent="0.25">
      <c r="A5" s="249" t="s">
        <v>552</v>
      </c>
      <c r="B5" s="251">
        <f>B2-B4</f>
        <v>8.3883500000000311</v>
      </c>
      <c r="C5" s="251">
        <f t="shared" ref="C5:G5" si="0">C2-C4</f>
        <v>22.073102500000061</v>
      </c>
      <c r="D5" s="251">
        <f t="shared" si="0"/>
        <v>25.475528374999953</v>
      </c>
      <c r="E5" s="251">
        <f t="shared" si="0"/>
        <v>31.872444793750049</v>
      </c>
      <c r="F5" s="251">
        <f t="shared" si="0"/>
        <v>35.982295283437566</v>
      </c>
      <c r="G5" s="251">
        <f t="shared" si="0"/>
        <v>40.664507547609389</v>
      </c>
    </row>
    <row r="6" spans="1:7" x14ac:dyDescent="0.25">
      <c r="A6" s="249" t="s">
        <v>553</v>
      </c>
      <c r="B6" s="250">
        <f>'P&amp;L'!B29+'P&amp;L'!B27</f>
        <v>12.044350000000001</v>
      </c>
      <c r="C6" s="250">
        <f>'P&amp;L'!C29+'P&amp;L'!C27</f>
        <v>16.369402500000099</v>
      </c>
      <c r="D6" s="250">
        <f>'P&amp;L'!D29+'P&amp;L'!D27</f>
        <v>20.208093375000022</v>
      </c>
      <c r="E6" s="250">
        <f>'P&amp;L'!E29+'P&amp;L'!E27</f>
        <v>24.528078043750028</v>
      </c>
      <c r="F6" s="250">
        <f>'P&amp;L'!F29+'P&amp;L'!F27</f>
        <v>30.28099519593755</v>
      </c>
      <c r="G6" s="250">
        <f>'P&amp;L'!G29+'P&amp;L'!G27</f>
        <v>34.018022455734375</v>
      </c>
    </row>
    <row r="7" spans="1:7" x14ac:dyDescent="0.25">
      <c r="A7" s="249" t="s">
        <v>554</v>
      </c>
      <c r="B7" s="250">
        <f>'P&amp;L'!B34</f>
        <v>5.5947939062500023</v>
      </c>
      <c r="C7" s="250">
        <f>'P&amp;L'!C34</f>
        <v>9.5839537359375999</v>
      </c>
      <c r="D7" s="250">
        <f>'P&amp;L'!D34</f>
        <v>13.122096412265648</v>
      </c>
      <c r="E7" s="250">
        <f>'P&amp;L'!E34</f>
        <v>17.265691854753936</v>
      </c>
      <c r="F7" s="250">
        <f>'P&amp;L'!F34</f>
        <v>22.675014222960403</v>
      </c>
      <c r="G7" s="250">
        <f>'P&amp;L'!G34</f>
        <v>26.126392016920867</v>
      </c>
    </row>
    <row r="8" spans="1:7" x14ac:dyDescent="0.25">
      <c r="A8" s="249" t="s">
        <v>555</v>
      </c>
      <c r="B8" s="250">
        <f>'P&amp;L'!B36</f>
        <v>5.5947939062500023</v>
      </c>
      <c r="C8" s="250">
        <f>'P&amp;L'!C36</f>
        <v>9.3441023432813193</v>
      </c>
      <c r="D8" s="250">
        <f>'P&amp;L'!D36</f>
        <v>10.681183563585954</v>
      </c>
      <c r="E8" s="250">
        <f>'P&amp;L'!E36</f>
        <v>13.219957917077755</v>
      </c>
      <c r="F8" s="250">
        <f>'P&amp;L'!F36</f>
        <v>16.693739107009783</v>
      </c>
      <c r="G8" s="250">
        <f>'P&amp;L'!G36</f>
        <v>18.839133723141483</v>
      </c>
    </row>
    <row r="12" spans="1:7" x14ac:dyDescent="0.25">
      <c r="C12" s="24"/>
    </row>
    <row r="14" spans="1:7" x14ac:dyDescent="0.25">
      <c r="C14" s="2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zoomScale="85" zoomScaleNormal="100" zoomScaleSheetLayoutView="85" workbookViewId="0">
      <selection activeCell="A2" sqref="A2:K52"/>
    </sheetView>
  </sheetViews>
  <sheetFormatPr defaultRowHeight="15" x14ac:dyDescent="0.25"/>
  <cols>
    <col min="1" max="1" width="48.85546875" bestFit="1" customWidth="1"/>
    <col min="2" max="2" width="10.5703125" customWidth="1"/>
    <col min="3" max="6" width="9.7109375" bestFit="1" customWidth="1"/>
  </cols>
  <sheetData>
    <row r="1" spans="1:11" x14ac:dyDescent="0.25">
      <c r="A1" s="390" t="s">
        <v>563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x14ac:dyDescent="0.25">
      <c r="A2" s="253" t="s">
        <v>564</v>
      </c>
      <c r="B2" s="253" t="s">
        <v>565</v>
      </c>
      <c r="C2" s="253" t="s">
        <v>566</v>
      </c>
      <c r="D2" s="253" t="s">
        <v>567</v>
      </c>
      <c r="E2" s="253" t="s">
        <v>568</v>
      </c>
      <c r="F2" s="253" t="s">
        <v>569</v>
      </c>
      <c r="G2" s="253" t="s">
        <v>578</v>
      </c>
      <c r="H2" s="253" t="s">
        <v>579</v>
      </c>
      <c r="I2" s="253" t="s">
        <v>580</v>
      </c>
      <c r="J2" s="253" t="s">
        <v>581</v>
      </c>
      <c r="K2" s="253" t="s">
        <v>582</v>
      </c>
    </row>
    <row r="3" spans="1:11" x14ac:dyDescent="0.25">
      <c r="A3" s="254" t="str">
        <f>'P&amp;L'!A5</f>
        <v xml:space="preserve">Revenue from Sale </v>
      </c>
      <c r="B3" s="267">
        <f>+'P&amp;L'!B5*1.1</f>
        <v>259.16000000000003</v>
      </c>
      <c r="C3" s="267">
        <f>+'P&amp;L'!C5*1.1</f>
        <v>311.96550000000002</v>
      </c>
      <c r="D3" s="267">
        <f>+'P&amp;L'!D5*1.1</f>
        <v>355.99850000000009</v>
      </c>
      <c r="E3" s="267">
        <f>+'P&amp;L'!E5*1.1</f>
        <v>407.55286000000007</v>
      </c>
      <c r="F3" s="267">
        <f>+'P&amp;L'!F5*1.1</f>
        <v>459.15331000000003</v>
      </c>
      <c r="G3" s="267">
        <f>+'P&amp;L'!G5*1.1</f>
        <v>516.4471400000001</v>
      </c>
      <c r="H3" s="267">
        <f>+'P&amp;L'!H5*1.1</f>
        <v>579.12536000000011</v>
      </c>
      <c r="I3" s="267">
        <f>+'P&amp;L'!I5*1.1</f>
        <v>645.47791000000018</v>
      </c>
      <c r="J3" s="267">
        <f>+'P&amp;L'!J5*1.1</f>
        <v>718.39184999999998</v>
      </c>
      <c r="K3" s="267">
        <f>+'P&amp;L'!K5*1.1</f>
        <v>796.38338999999996</v>
      </c>
    </row>
    <row r="4" spans="1:11" x14ac:dyDescent="0.25">
      <c r="A4" s="254" t="str">
        <f>'P&amp;L'!A6</f>
        <v>Revenue- Service Charges - Dal Milling</v>
      </c>
      <c r="B4" s="267">
        <f>+'P&amp;L'!B6*1.1</f>
        <v>11.9625</v>
      </c>
      <c r="C4" s="267">
        <f>+'P&amp;L'!C6</f>
        <v>12.560625000000002</v>
      </c>
      <c r="D4" s="267">
        <f>+'P&amp;L'!D6</f>
        <v>14.386500000000002</v>
      </c>
      <c r="E4" s="267">
        <f>+'P&amp;L'!E6</f>
        <v>16.365375000000004</v>
      </c>
      <c r="F4" s="267">
        <f>+'P&amp;L'!F6</f>
        <v>18.506250000000005</v>
      </c>
      <c r="G4" s="267">
        <f>+'P&amp;L'!G6</f>
        <v>20.536875000000006</v>
      </c>
      <c r="H4" s="267">
        <f>+'P&amp;L'!H6</f>
        <v>22.704000000000008</v>
      </c>
      <c r="I4" s="267">
        <f>+'P&amp;L'!I6</f>
        <v>25.009125000000008</v>
      </c>
      <c r="J4" s="267">
        <f>+'P&amp;L'!J6</f>
        <v>27.803250000000009</v>
      </c>
      <c r="K4" s="267">
        <f>+'P&amp;L'!K6*1.1</f>
        <v>33.897187500000022</v>
      </c>
    </row>
    <row r="5" spans="1:11" hidden="1" x14ac:dyDescent="0.25">
      <c r="A5" s="254" t="str">
        <f>'P&amp;L'!A8</f>
        <v>Revenue from Weigh Bridge operation</v>
      </c>
      <c r="B5" s="267">
        <f>+'P&amp;L'!B8</f>
        <v>0</v>
      </c>
      <c r="C5" s="267">
        <f>+'P&amp;L'!C8</f>
        <v>0</v>
      </c>
      <c r="D5" s="267">
        <f>+'P&amp;L'!D8</f>
        <v>0</v>
      </c>
      <c r="E5" s="267">
        <f>+'P&amp;L'!E8</f>
        <v>0</v>
      </c>
      <c r="F5" s="267">
        <f>+'P&amp;L'!F8</f>
        <v>0</v>
      </c>
      <c r="G5" s="267">
        <f>+'P&amp;L'!G8</f>
        <v>0</v>
      </c>
      <c r="H5" s="267">
        <f>+'P&amp;L'!H8</f>
        <v>0</v>
      </c>
      <c r="I5" s="267">
        <f>+'P&amp;L'!I8</f>
        <v>0</v>
      </c>
      <c r="J5" s="267">
        <f>+'P&amp;L'!J8</f>
        <v>0</v>
      </c>
      <c r="K5" s="267">
        <f>+'P&amp;L'!K8</f>
        <v>0</v>
      </c>
    </row>
    <row r="6" spans="1:11" x14ac:dyDescent="0.25">
      <c r="A6" s="254" t="s">
        <v>584</v>
      </c>
      <c r="B6" s="255">
        <f>+'P&amp;L'!B12-'P&amp;L'!B11</f>
        <v>10.650000000000002</v>
      </c>
      <c r="C6" s="255">
        <f>+'P&amp;L'!C12-'P&amp;L'!C11</f>
        <v>1.634999999999998</v>
      </c>
      <c r="D6" s="255">
        <f>+'P&amp;L'!D12-'P&amp;L'!D11</f>
        <v>2.4331999999999994</v>
      </c>
      <c r="E6" s="255">
        <f>+'P&amp;L'!E12-'P&amp;L'!E11</f>
        <v>0.73629999999999995</v>
      </c>
      <c r="F6" s="255">
        <f>+'P&amp;L'!F12-'P&amp;L'!F11</f>
        <v>2.7784000000000049</v>
      </c>
      <c r="G6" s="255">
        <f>+'P&amp;L'!G12-'P&amp;L'!G11</f>
        <v>2.2521999999999984</v>
      </c>
      <c r="H6" s="255">
        <f>+'P&amp;L'!H12-'P&amp;L'!H11</f>
        <v>2.2974999999999959</v>
      </c>
      <c r="I6" s="255">
        <f>+'P&amp;L'!I12-'P&amp;L'!I11</f>
        <v>2.3358000000000025</v>
      </c>
      <c r="J6" s="255">
        <f>+'P&amp;L'!J12-'P&amp;L'!J11</f>
        <v>3.6941000000000024</v>
      </c>
      <c r="K6" s="255">
        <f>+'P&amp;L'!K12-'P&amp;L'!K11</f>
        <v>3.0699000000000005</v>
      </c>
    </row>
    <row r="7" spans="1:11" x14ac:dyDescent="0.25">
      <c r="A7" s="253" t="s">
        <v>570</v>
      </c>
      <c r="B7" s="256">
        <f>SUM(B3:B6)</f>
        <v>281.77249999999998</v>
      </c>
      <c r="C7" s="256">
        <f>SUM(C3:C6)</f>
        <v>326.16112500000003</v>
      </c>
      <c r="D7" s="256">
        <f>SUM(D3:D6)</f>
        <v>372.8182000000001</v>
      </c>
      <c r="E7" s="256">
        <f>SUM(E3:E6)</f>
        <v>424.65453500000012</v>
      </c>
      <c r="F7" s="256">
        <f>SUM(F3:F6)</f>
        <v>480.43796000000009</v>
      </c>
      <c r="G7" s="256">
        <f t="shared" ref="G7:K7" si="0">SUM(G3:G6)</f>
        <v>539.23621500000013</v>
      </c>
      <c r="H7" s="256">
        <f t="shared" si="0"/>
        <v>604.12686000000019</v>
      </c>
      <c r="I7" s="256">
        <f t="shared" si="0"/>
        <v>672.82283500000017</v>
      </c>
      <c r="J7" s="256">
        <f t="shared" si="0"/>
        <v>749.88920000000007</v>
      </c>
      <c r="K7" s="256">
        <f t="shared" si="0"/>
        <v>833.3504774999999</v>
      </c>
    </row>
    <row r="8" spans="1:11" x14ac:dyDescent="0.25">
      <c r="A8" s="253" t="s">
        <v>571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</row>
    <row r="9" spans="1:11" x14ac:dyDescent="0.25">
      <c r="A9" s="261" t="s">
        <v>583</v>
      </c>
      <c r="B9" s="255">
        <f>+'P&amp;L'!B21*1.1</f>
        <v>240.48750000000001</v>
      </c>
      <c r="C9" s="255">
        <f>+'P&amp;L'!C21*1.1</f>
        <v>277.66838000000001</v>
      </c>
      <c r="D9" s="255">
        <f>+'P&amp;L'!D21*1.1</f>
        <v>317.60564000000005</v>
      </c>
      <c r="E9" s="255">
        <f>+'P&amp;L'!E21*1.1</f>
        <v>361.66911000000005</v>
      </c>
      <c r="F9" s="255">
        <f>+'P&amp;L'!F21*1.1</f>
        <v>408.52042000000006</v>
      </c>
      <c r="G9" s="255">
        <f>+'P&amp;L'!G21*1.1</f>
        <v>460.03496000000001</v>
      </c>
      <c r="H9" s="255">
        <f>+'P&amp;L'!H21*1.1</f>
        <v>514.76744000000008</v>
      </c>
      <c r="I9" s="255">
        <f>+'P&amp;L'!I21*1.1</f>
        <v>574.74779999999998</v>
      </c>
      <c r="J9" s="255">
        <f>+'P&amp;L'!J21*1.1</f>
        <v>638.43186000000014</v>
      </c>
      <c r="K9" s="255">
        <f>+'P&amp;L'!K21*1.1</f>
        <v>708.15854999999999</v>
      </c>
    </row>
    <row r="10" spans="1:11" x14ac:dyDescent="0.25">
      <c r="A10" s="254" t="s">
        <v>572</v>
      </c>
      <c r="B10" s="255">
        <f>+'P&amp;L'!B23</f>
        <v>13.976649999999999</v>
      </c>
      <c r="C10" s="255">
        <f>+'P&amp;L'!C23</f>
        <v>14.670482500000002</v>
      </c>
      <c r="D10" s="255">
        <f>+'P&amp;L'!D23</f>
        <v>15.399006625</v>
      </c>
      <c r="E10" s="255">
        <f>+'P&amp;L'!E23</f>
        <v>16.163956956250004</v>
      </c>
      <c r="F10" s="255">
        <f>+'P&amp;L'!F23</f>
        <v>16.967154804062503</v>
      </c>
      <c r="G10" s="255">
        <f>+'P&amp;L'!G23</f>
        <v>17.810512544265631</v>
      </c>
      <c r="H10" s="255">
        <f>+'P&amp;L'!H23</f>
        <v>18.696038171478911</v>
      </c>
      <c r="I10" s="255">
        <f>+'P&amp;L'!I23</f>
        <v>19.625840080052857</v>
      </c>
      <c r="J10" s="255">
        <f>+'P&amp;L'!J23</f>
        <v>20.602132084055501</v>
      </c>
      <c r="K10" s="255">
        <f>+'P&amp;L'!K23</f>
        <v>21.627238688258277</v>
      </c>
    </row>
    <row r="11" spans="1:11" x14ac:dyDescent="0.25">
      <c r="A11" s="254" t="s">
        <v>335</v>
      </c>
      <c r="B11" s="255">
        <f>+'P&amp;L'!B25</f>
        <v>12.478999999999999</v>
      </c>
      <c r="C11" s="255">
        <f>+'P&amp;L'!C25</f>
        <v>14.334940000000001</v>
      </c>
      <c r="D11" s="255">
        <f>+'P&amp;L'!D25</f>
        <v>16.115199999999998</v>
      </c>
      <c r="E11" s="255">
        <f>+'P&amp;L'!E25</f>
        <v>18.122140000000002</v>
      </c>
      <c r="F11" s="255">
        <f>+'P&amp;L'!F25</f>
        <v>20.066400000000002</v>
      </c>
      <c r="G11" s="255">
        <f>+'P&amp;L'!G25</f>
        <v>22.244340000000001</v>
      </c>
      <c r="H11" s="255">
        <f>+'P&amp;L'!H25</f>
        <v>24.382600000000004</v>
      </c>
      <c r="I11" s="255">
        <f>+'P&amp;L'!I25</f>
        <v>25.975540000000006</v>
      </c>
      <c r="J11" s="255">
        <f>+'P&amp;L'!J25</f>
        <v>27.412800000000004</v>
      </c>
      <c r="K11" s="255">
        <f>+'P&amp;L'!K25</f>
        <v>29.005740000000003</v>
      </c>
    </row>
    <row r="12" spans="1:11" x14ac:dyDescent="0.25">
      <c r="A12" s="253" t="s">
        <v>573</v>
      </c>
      <c r="B12" s="256">
        <f>SUM(B9:B11)</f>
        <v>266.94315</v>
      </c>
      <c r="C12" s="256">
        <f t="shared" ref="C12:K12" si="1">SUM(C9:C11)</f>
        <v>306.67380250000002</v>
      </c>
      <c r="D12" s="256">
        <f t="shared" si="1"/>
        <v>349.11984662500009</v>
      </c>
      <c r="E12" s="256">
        <f t="shared" si="1"/>
        <v>395.95520695625004</v>
      </c>
      <c r="F12" s="256">
        <f t="shared" si="1"/>
        <v>445.55397480406253</v>
      </c>
      <c r="G12" s="256">
        <f t="shared" si="1"/>
        <v>500.08981254426567</v>
      </c>
      <c r="H12" s="256">
        <f t="shared" si="1"/>
        <v>557.84607817147901</v>
      </c>
      <c r="I12" s="256">
        <f t="shared" si="1"/>
        <v>620.34918008005286</v>
      </c>
      <c r="J12" s="256">
        <f t="shared" si="1"/>
        <v>686.44679208405569</v>
      </c>
      <c r="K12" s="256">
        <f t="shared" si="1"/>
        <v>758.79152868825827</v>
      </c>
    </row>
    <row r="13" spans="1:11" x14ac:dyDescent="0.25">
      <c r="A13" s="257" t="s">
        <v>574</v>
      </c>
      <c r="B13" s="258">
        <f>B7-B12</f>
        <v>14.829349999999977</v>
      </c>
      <c r="C13" s="258">
        <f>C7-C12</f>
        <v>19.487322500000005</v>
      </c>
      <c r="D13" s="258">
        <f>D7-D12</f>
        <v>23.698353375000011</v>
      </c>
      <c r="E13" s="258">
        <f>E7-E12</f>
        <v>28.699328043750086</v>
      </c>
      <c r="F13" s="258">
        <f>F7-F12</f>
        <v>34.883985195937555</v>
      </c>
      <c r="G13" s="258">
        <f t="shared" ref="G13:K13" si="2">G7-G12</f>
        <v>39.14640245573446</v>
      </c>
      <c r="H13" s="258">
        <f t="shared" si="2"/>
        <v>46.280781828521185</v>
      </c>
      <c r="I13" s="258">
        <f t="shared" si="2"/>
        <v>52.473654919947307</v>
      </c>
      <c r="J13" s="258">
        <f t="shared" si="2"/>
        <v>63.442407915944386</v>
      </c>
      <c r="K13" s="258">
        <f t="shared" si="2"/>
        <v>74.558948811741629</v>
      </c>
    </row>
    <row r="14" spans="1:11" x14ac:dyDescent="0.25">
      <c r="A14" s="259"/>
      <c r="B14" s="260"/>
      <c r="C14" s="260"/>
      <c r="D14" s="260"/>
      <c r="E14" s="260"/>
      <c r="F14" s="260"/>
      <c r="G14" s="260"/>
      <c r="H14" s="260"/>
      <c r="I14" s="260"/>
      <c r="J14" s="260"/>
      <c r="K14" s="260"/>
    </row>
    <row r="15" spans="1:11" x14ac:dyDescent="0.25">
      <c r="A15" s="253" t="s">
        <v>575</v>
      </c>
      <c r="B15" s="253" t="s">
        <v>565</v>
      </c>
      <c r="C15" s="253" t="s">
        <v>566</v>
      </c>
      <c r="D15" s="253" t="s">
        <v>567</v>
      </c>
      <c r="E15" s="253" t="s">
        <v>568</v>
      </c>
      <c r="F15" s="253" t="s">
        <v>569</v>
      </c>
      <c r="G15" s="253" t="s">
        <v>578</v>
      </c>
      <c r="H15" s="253" t="s">
        <v>579</v>
      </c>
      <c r="I15" s="253" t="s">
        <v>580</v>
      </c>
      <c r="J15" s="253" t="s">
        <v>581</v>
      </c>
      <c r="K15" s="253" t="s">
        <v>582</v>
      </c>
    </row>
    <row r="16" spans="1:11" x14ac:dyDescent="0.25">
      <c r="A16" s="254" t="str">
        <f>+A3</f>
        <v xml:space="preserve">Revenue from Sale </v>
      </c>
      <c r="B16" s="255">
        <f>+'P&amp;L'!B5</f>
        <v>235.60000000000002</v>
      </c>
      <c r="C16" s="255">
        <f>+'P&amp;L'!C5</f>
        <v>283.60500000000002</v>
      </c>
      <c r="D16" s="255">
        <f>+'P&amp;L'!D5</f>
        <v>323.63500000000005</v>
      </c>
      <c r="E16" s="255">
        <f>+'P&amp;L'!E5</f>
        <v>370.50260000000003</v>
      </c>
      <c r="F16" s="255">
        <f>+'P&amp;L'!F5</f>
        <v>417.41210000000001</v>
      </c>
      <c r="G16" s="255">
        <f>+'P&amp;L'!G5</f>
        <v>469.49740000000003</v>
      </c>
      <c r="H16" s="255">
        <f>+'P&amp;L'!H5</f>
        <v>526.47760000000005</v>
      </c>
      <c r="I16" s="255">
        <f>+'P&amp;L'!I5</f>
        <v>586.79810000000009</v>
      </c>
      <c r="J16" s="255">
        <f>+'P&amp;L'!J5</f>
        <v>653.08349999999996</v>
      </c>
      <c r="K16" s="255">
        <f>+'P&amp;L'!K5</f>
        <v>723.98489999999993</v>
      </c>
    </row>
    <row r="17" spans="1:11" x14ac:dyDescent="0.25">
      <c r="A17" s="254" t="str">
        <f>+A4</f>
        <v>Revenue- Service Charges - Dal Milling</v>
      </c>
      <c r="B17" s="255">
        <f>+'P&amp;L'!B6</f>
        <v>10.875</v>
      </c>
      <c r="C17" s="255">
        <f>+'P&amp;L'!C6</f>
        <v>12.560625000000002</v>
      </c>
      <c r="D17" s="255">
        <f>+'P&amp;L'!D6</f>
        <v>14.386500000000002</v>
      </c>
      <c r="E17" s="255">
        <f>+'P&amp;L'!E6</f>
        <v>16.365375000000004</v>
      </c>
      <c r="F17" s="255">
        <f>+'P&amp;L'!F6</f>
        <v>18.506250000000005</v>
      </c>
      <c r="G17" s="255">
        <f>+'P&amp;L'!G6</f>
        <v>20.536875000000006</v>
      </c>
      <c r="H17" s="255">
        <f>+'P&amp;L'!H6</f>
        <v>22.704000000000008</v>
      </c>
      <c r="I17" s="255">
        <f>+'P&amp;L'!I6</f>
        <v>25.009125000000008</v>
      </c>
      <c r="J17" s="255">
        <f>+'P&amp;L'!J6</f>
        <v>27.803250000000009</v>
      </c>
      <c r="K17" s="255">
        <f>+'P&amp;L'!K6</f>
        <v>30.815625000000015</v>
      </c>
    </row>
    <row r="18" spans="1:11" hidden="1" x14ac:dyDescent="0.25">
      <c r="A18" s="254" t="str">
        <f>+A5</f>
        <v>Revenue from Weigh Bridge operation</v>
      </c>
      <c r="B18" s="255">
        <f>+'P&amp;L'!B8</f>
        <v>0</v>
      </c>
      <c r="C18" s="255">
        <f>+'P&amp;L'!C8</f>
        <v>0</v>
      </c>
      <c r="D18" s="255">
        <f>+'P&amp;L'!D8</f>
        <v>0</v>
      </c>
      <c r="E18" s="255">
        <f>+'P&amp;L'!E8</f>
        <v>0</v>
      </c>
      <c r="F18" s="255">
        <f>+'P&amp;L'!F8</f>
        <v>0</v>
      </c>
      <c r="G18" s="255">
        <f>+'P&amp;L'!G8</f>
        <v>0</v>
      </c>
      <c r="H18" s="255">
        <f>+'P&amp;L'!H8</f>
        <v>0</v>
      </c>
      <c r="I18" s="255">
        <f>+'P&amp;L'!I8</f>
        <v>0</v>
      </c>
      <c r="J18" s="255">
        <f>+'P&amp;L'!J8</f>
        <v>0</v>
      </c>
      <c r="K18" s="255">
        <f>+'P&amp;L'!K8</f>
        <v>0</v>
      </c>
    </row>
    <row r="19" spans="1:11" x14ac:dyDescent="0.25">
      <c r="A19" s="254" t="str">
        <f>+A6</f>
        <v>Change in Closing Stock of FG</v>
      </c>
      <c r="B19" s="255">
        <f>+'P&amp;L'!B12-'P&amp;L'!B11</f>
        <v>10.650000000000002</v>
      </c>
      <c r="C19" s="255">
        <f>+'P&amp;L'!C12-'P&amp;L'!C11</f>
        <v>1.634999999999998</v>
      </c>
      <c r="D19" s="255">
        <f>+'P&amp;L'!D12-'P&amp;L'!D11</f>
        <v>2.4331999999999994</v>
      </c>
      <c r="E19" s="255">
        <f>+'P&amp;L'!E12-'P&amp;L'!E11</f>
        <v>0.73629999999999995</v>
      </c>
      <c r="F19" s="255">
        <f>+'P&amp;L'!F12-'P&amp;L'!F11</f>
        <v>2.7784000000000049</v>
      </c>
      <c r="G19" s="255">
        <f>+'P&amp;L'!G12-'P&amp;L'!G11</f>
        <v>2.2521999999999984</v>
      </c>
      <c r="H19" s="255">
        <f>+'P&amp;L'!H12-'P&amp;L'!H11</f>
        <v>2.2974999999999959</v>
      </c>
      <c r="I19" s="255">
        <f>+'P&amp;L'!I12-'P&amp;L'!I11</f>
        <v>2.3358000000000025</v>
      </c>
      <c r="J19" s="255">
        <f>+'P&amp;L'!J12-'P&amp;L'!J11</f>
        <v>3.6941000000000024</v>
      </c>
      <c r="K19" s="255">
        <f>+'P&amp;L'!K12-'P&amp;L'!K11</f>
        <v>3.0699000000000005</v>
      </c>
    </row>
    <row r="20" spans="1:11" x14ac:dyDescent="0.25">
      <c r="A20" s="253" t="s">
        <v>570</v>
      </c>
      <c r="B20" s="256">
        <f>SUM(B16:B19)</f>
        <v>257.125</v>
      </c>
      <c r="C20" s="256">
        <f>SUM(C16:C19)</f>
        <v>297.80062500000003</v>
      </c>
      <c r="D20" s="256">
        <f>SUM(D16:D19)</f>
        <v>340.45470000000006</v>
      </c>
      <c r="E20" s="256">
        <f>SUM(E16:E19)</f>
        <v>387.60427500000003</v>
      </c>
      <c r="F20" s="256">
        <f>SUM(F16:F19)</f>
        <v>438.69675000000007</v>
      </c>
      <c r="G20" s="256">
        <f t="shared" ref="G20:K20" si="3">SUM(G16:G19)</f>
        <v>492.28647500000005</v>
      </c>
      <c r="H20" s="256">
        <f t="shared" si="3"/>
        <v>551.47910000000013</v>
      </c>
      <c r="I20" s="256">
        <f t="shared" si="3"/>
        <v>614.14302500000008</v>
      </c>
      <c r="J20" s="256">
        <f t="shared" si="3"/>
        <v>684.58085000000005</v>
      </c>
      <c r="K20" s="256">
        <f t="shared" si="3"/>
        <v>757.87042499999995</v>
      </c>
    </row>
    <row r="21" spans="1:11" x14ac:dyDescent="0.25">
      <c r="A21" s="253" t="s">
        <v>571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spans="1:11" x14ac:dyDescent="0.25">
      <c r="A22" s="261" t="s">
        <v>583</v>
      </c>
      <c r="B22" s="255">
        <f>+'P&amp;L'!B21*1.1</f>
        <v>240.48750000000001</v>
      </c>
      <c r="C22" s="255">
        <f>+'P&amp;L'!C21*1.1</f>
        <v>277.66838000000001</v>
      </c>
      <c r="D22" s="255">
        <f>+'P&amp;L'!D21*1.1</f>
        <v>317.60564000000005</v>
      </c>
      <c r="E22" s="255">
        <f>+'P&amp;L'!E21*1.1</f>
        <v>361.66911000000005</v>
      </c>
      <c r="F22" s="255">
        <f>+'P&amp;L'!F21*1.1</f>
        <v>408.52042000000006</v>
      </c>
      <c r="G22" s="255">
        <f>+'P&amp;L'!G21*1.1</f>
        <v>460.03496000000001</v>
      </c>
      <c r="H22" s="255">
        <f>+'P&amp;L'!H21*1.1</f>
        <v>514.76744000000008</v>
      </c>
      <c r="I22" s="255">
        <f>+'P&amp;L'!I21*1.1</f>
        <v>574.74779999999998</v>
      </c>
      <c r="J22" s="255">
        <f>+'P&amp;L'!J21*1.1</f>
        <v>638.43186000000014</v>
      </c>
      <c r="K22" s="255">
        <f>+'P&amp;L'!K21*1.1</f>
        <v>708.15854999999999</v>
      </c>
    </row>
    <row r="23" spans="1:11" x14ac:dyDescent="0.25">
      <c r="A23" s="254" t="s">
        <v>572</v>
      </c>
      <c r="B23" s="255">
        <f>+'P&amp;L'!B23*1.1</f>
        <v>15.374315000000001</v>
      </c>
      <c r="C23" s="255">
        <f>+'P&amp;L'!C23*1.1</f>
        <v>16.137530750000003</v>
      </c>
      <c r="D23" s="255">
        <f>+'P&amp;L'!D23*1.1</f>
        <v>16.938907287500001</v>
      </c>
      <c r="E23" s="255">
        <f>+'P&amp;L'!E23*1.1</f>
        <v>17.780352651875006</v>
      </c>
      <c r="F23" s="255">
        <f>+'P&amp;L'!F23*1.1</f>
        <v>18.663870284468754</v>
      </c>
      <c r="G23" s="255">
        <f>+'P&amp;L'!G23*1.1</f>
        <v>19.591563798692196</v>
      </c>
      <c r="H23" s="255">
        <f>+'P&amp;L'!H23*1.1</f>
        <v>20.565641988626805</v>
      </c>
      <c r="I23" s="255">
        <f>+'P&amp;L'!I23*1.1</f>
        <v>21.588424088058144</v>
      </c>
      <c r="J23" s="255">
        <f>+'P&amp;L'!J23*1.1</f>
        <v>22.662345292461055</v>
      </c>
      <c r="K23" s="255">
        <f>+'P&amp;L'!K23*1.1</f>
        <v>23.789962557084106</v>
      </c>
    </row>
    <row r="24" spans="1:11" x14ac:dyDescent="0.25">
      <c r="A24" s="254" t="s">
        <v>335</v>
      </c>
      <c r="B24" s="255">
        <f>+'P&amp;L'!B25*1.1</f>
        <v>13.726900000000001</v>
      </c>
      <c r="C24" s="255">
        <f>+'P&amp;L'!C25*1.1</f>
        <v>15.768434000000003</v>
      </c>
      <c r="D24" s="255">
        <f>+'P&amp;L'!D25*1.1</f>
        <v>17.72672</v>
      </c>
      <c r="E24" s="255">
        <f>+'P&amp;L'!E25*1.1</f>
        <v>19.934354000000003</v>
      </c>
      <c r="F24" s="255">
        <f>+'P&amp;L'!F25*1.1</f>
        <v>22.073040000000002</v>
      </c>
      <c r="G24" s="255">
        <f>+'P&amp;L'!G25*1.1</f>
        <v>24.468774000000003</v>
      </c>
      <c r="H24" s="255">
        <f>+'P&amp;L'!H25*1.1</f>
        <v>26.820860000000007</v>
      </c>
      <c r="I24" s="255">
        <f>+'P&amp;L'!I25*1.1</f>
        <v>28.573094000000008</v>
      </c>
      <c r="J24" s="255">
        <f>+'P&amp;L'!J25*1.1</f>
        <v>30.154080000000008</v>
      </c>
      <c r="K24" s="255">
        <f>+'P&amp;L'!K25*1.1</f>
        <v>31.906314000000005</v>
      </c>
    </row>
    <row r="25" spans="1:11" x14ac:dyDescent="0.25">
      <c r="A25" s="253" t="s">
        <v>573</v>
      </c>
      <c r="B25" s="256">
        <f>SUM(B22:B24)</f>
        <v>269.58871499999998</v>
      </c>
      <c r="C25" s="256">
        <f t="shared" ref="C25:K25" si="4">SUM(C22:C24)</f>
        <v>309.57434475000002</v>
      </c>
      <c r="D25" s="256">
        <f t="shared" si="4"/>
        <v>352.27126728750005</v>
      </c>
      <c r="E25" s="256">
        <f t="shared" si="4"/>
        <v>399.38381665187501</v>
      </c>
      <c r="F25" s="256">
        <f t="shared" si="4"/>
        <v>449.25733028446882</v>
      </c>
      <c r="G25" s="256">
        <f t="shared" si="4"/>
        <v>504.09529779869223</v>
      </c>
      <c r="H25" s="256">
        <f t="shared" si="4"/>
        <v>562.15394198862691</v>
      </c>
      <c r="I25" s="256">
        <f t="shared" si="4"/>
        <v>624.90931808805806</v>
      </c>
      <c r="J25" s="256">
        <f t="shared" si="4"/>
        <v>691.24828529246122</v>
      </c>
      <c r="K25" s="256">
        <f t="shared" si="4"/>
        <v>763.85482655708404</v>
      </c>
    </row>
    <row r="26" spans="1:11" x14ac:dyDescent="0.25">
      <c r="A26" s="257" t="s">
        <v>574</v>
      </c>
      <c r="B26" s="258">
        <f>B20-B25</f>
        <v>-12.463714999999979</v>
      </c>
      <c r="C26" s="258">
        <f>C20-C25</f>
        <v>-11.773719749999998</v>
      </c>
      <c r="D26" s="258">
        <f>D20-D25</f>
        <v>-11.816567287499993</v>
      </c>
      <c r="E26" s="258">
        <f>E20-E25</f>
        <v>-11.779541651874979</v>
      </c>
      <c r="F26" s="258">
        <f>F20-F25</f>
        <v>-10.560580284468756</v>
      </c>
      <c r="G26" s="258">
        <f t="shared" ref="G26:K26" si="5">G20-G25</f>
        <v>-11.808822798692177</v>
      </c>
      <c r="H26" s="258">
        <f t="shared" si="5"/>
        <v>-10.674841988626781</v>
      </c>
      <c r="I26" s="258">
        <f t="shared" si="5"/>
        <v>-10.766293088057978</v>
      </c>
      <c r="J26" s="258">
        <f t="shared" si="5"/>
        <v>-6.667435292461164</v>
      </c>
      <c r="K26" s="258">
        <f t="shared" si="5"/>
        <v>-5.9844015570840838</v>
      </c>
    </row>
    <row r="27" spans="1:11" x14ac:dyDescent="0.25">
      <c r="A27" s="259"/>
      <c r="B27" s="260"/>
      <c r="C27" s="260"/>
      <c r="D27" s="260"/>
      <c r="E27" s="260"/>
      <c r="F27" s="260"/>
      <c r="G27" s="260"/>
      <c r="H27" s="260"/>
      <c r="I27" s="260"/>
      <c r="J27" s="260"/>
      <c r="K27" s="260"/>
    </row>
    <row r="28" spans="1:11" x14ac:dyDescent="0.25">
      <c r="A28" s="253" t="s">
        <v>576</v>
      </c>
      <c r="B28" s="253" t="s">
        <v>565</v>
      </c>
      <c r="C28" s="253" t="s">
        <v>566</v>
      </c>
      <c r="D28" s="253" t="s">
        <v>567</v>
      </c>
      <c r="E28" s="253" t="s">
        <v>568</v>
      </c>
      <c r="F28" s="253" t="s">
        <v>569</v>
      </c>
      <c r="G28" s="253" t="s">
        <v>578</v>
      </c>
      <c r="H28" s="253" t="s">
        <v>579</v>
      </c>
      <c r="I28" s="253" t="s">
        <v>580</v>
      </c>
      <c r="J28" s="253" t="s">
        <v>581</v>
      </c>
      <c r="K28" s="253" t="s">
        <v>582</v>
      </c>
    </row>
    <row r="29" spans="1:11" x14ac:dyDescent="0.25">
      <c r="A29" s="254" t="str">
        <f>+A16</f>
        <v xml:space="preserve">Revenue from Sale </v>
      </c>
      <c r="B29" s="255">
        <f>+'P&amp;L'!B5*0.9</f>
        <v>212.04000000000002</v>
      </c>
      <c r="C29" s="255">
        <f>+'P&amp;L'!C5*0.9</f>
        <v>255.24450000000002</v>
      </c>
      <c r="D29" s="255">
        <f>+'P&amp;L'!D5*0.9</f>
        <v>291.27150000000006</v>
      </c>
      <c r="E29" s="255">
        <f>+'P&amp;L'!E5*0.9</f>
        <v>333.45234000000005</v>
      </c>
      <c r="F29" s="255">
        <f>+'P&amp;L'!F5*0.9</f>
        <v>375.67089000000004</v>
      </c>
      <c r="G29" s="255">
        <f>+'P&amp;L'!G5*0.9</f>
        <v>422.54766000000001</v>
      </c>
      <c r="H29" s="255">
        <f>+'P&amp;L'!H5*0.9</f>
        <v>473.82984000000005</v>
      </c>
      <c r="I29" s="255">
        <f>+'P&amp;L'!I5*0.9</f>
        <v>528.11829000000012</v>
      </c>
      <c r="J29" s="255">
        <f>+'P&amp;L'!J5*0.9</f>
        <v>587.77514999999994</v>
      </c>
      <c r="K29" s="255">
        <f>+'P&amp;L'!K5*0.9</f>
        <v>651.58641</v>
      </c>
    </row>
    <row r="30" spans="1:11" x14ac:dyDescent="0.25">
      <c r="A30" s="254" t="str">
        <f>+A17</f>
        <v>Revenue- Service Charges - Dal Milling</v>
      </c>
      <c r="B30" s="255">
        <f>+'P&amp;L'!B6*0.9</f>
        <v>9.7874999999999996</v>
      </c>
      <c r="C30" s="255">
        <f>+'P&amp;L'!C6*0.9</f>
        <v>11.304562500000001</v>
      </c>
      <c r="D30" s="255">
        <f>+'P&amp;L'!D6*0.9</f>
        <v>12.947850000000003</v>
      </c>
      <c r="E30" s="255">
        <f>+'P&amp;L'!E6*0.9</f>
        <v>14.728837500000004</v>
      </c>
      <c r="F30" s="255">
        <f>+'P&amp;L'!F6*0.9</f>
        <v>16.655625000000004</v>
      </c>
      <c r="G30" s="255">
        <f>+'P&amp;L'!G6*0.9</f>
        <v>18.483187500000007</v>
      </c>
      <c r="H30" s="255">
        <f>+'P&amp;L'!H6*0.9</f>
        <v>20.433600000000009</v>
      </c>
      <c r="I30" s="255">
        <f>+'P&amp;L'!I6*0.9</f>
        <v>22.508212500000006</v>
      </c>
      <c r="J30" s="255">
        <f>+'P&amp;L'!J6*0.9</f>
        <v>25.022925000000008</v>
      </c>
      <c r="K30" s="255">
        <f>+'P&amp;L'!K6*0.9</f>
        <v>27.734062500000014</v>
      </c>
    </row>
    <row r="31" spans="1:11" hidden="1" x14ac:dyDescent="0.25">
      <c r="A31" s="254" t="str">
        <f>+A18</f>
        <v>Revenue from Weigh Bridge operation</v>
      </c>
      <c r="B31" s="255">
        <f>+'P&amp;L'!B8</f>
        <v>0</v>
      </c>
      <c r="C31" s="255">
        <f>+'P&amp;L'!C8</f>
        <v>0</v>
      </c>
      <c r="D31" s="255">
        <f>+'P&amp;L'!D8</f>
        <v>0</v>
      </c>
      <c r="E31" s="255">
        <f>+'P&amp;L'!E8</f>
        <v>0</v>
      </c>
      <c r="F31" s="255">
        <f>+'P&amp;L'!F8</f>
        <v>0</v>
      </c>
      <c r="G31" s="255">
        <f>+'P&amp;L'!G8</f>
        <v>0</v>
      </c>
      <c r="H31" s="255">
        <f>+'P&amp;L'!H8</f>
        <v>0</v>
      </c>
      <c r="I31" s="255">
        <f>+'P&amp;L'!I8</f>
        <v>0</v>
      </c>
      <c r="J31" s="255">
        <f>+'P&amp;L'!J8</f>
        <v>0</v>
      </c>
      <c r="K31" s="255">
        <f>+'P&amp;L'!K8</f>
        <v>0</v>
      </c>
    </row>
    <row r="32" spans="1:11" x14ac:dyDescent="0.25">
      <c r="A32" s="254" t="str">
        <f>+A19</f>
        <v>Change in Closing Stock of FG</v>
      </c>
      <c r="B32" s="255">
        <f>+'P&amp;L'!B12-'P&amp;L'!B11</f>
        <v>10.650000000000002</v>
      </c>
      <c r="C32" s="255">
        <f>+'P&amp;L'!C12-'P&amp;L'!C11</f>
        <v>1.634999999999998</v>
      </c>
      <c r="D32" s="255">
        <f>+'P&amp;L'!D12-'P&amp;L'!D11</f>
        <v>2.4331999999999994</v>
      </c>
      <c r="E32" s="255">
        <f>+'P&amp;L'!E12-'P&amp;L'!E11</f>
        <v>0.73629999999999995</v>
      </c>
      <c r="F32" s="255">
        <f>+'P&amp;L'!F12-'P&amp;L'!F11</f>
        <v>2.7784000000000049</v>
      </c>
      <c r="G32" s="255">
        <f>+'P&amp;L'!G12-'P&amp;L'!G11</f>
        <v>2.2521999999999984</v>
      </c>
      <c r="H32" s="255">
        <f>+'P&amp;L'!H12-'P&amp;L'!H11</f>
        <v>2.2974999999999959</v>
      </c>
      <c r="I32" s="255">
        <f>+'P&amp;L'!I12-'P&amp;L'!I11</f>
        <v>2.3358000000000025</v>
      </c>
      <c r="J32" s="255">
        <f>+'P&amp;L'!J12-'P&amp;L'!J11</f>
        <v>3.6941000000000024</v>
      </c>
      <c r="K32" s="255">
        <f>+'P&amp;L'!K12-'P&amp;L'!K11</f>
        <v>3.0699000000000005</v>
      </c>
    </row>
    <row r="33" spans="1:11" x14ac:dyDescent="0.25">
      <c r="A33" s="253" t="s">
        <v>570</v>
      </c>
      <c r="B33" s="256">
        <f>SUM(B29:B32)</f>
        <v>232.47750000000002</v>
      </c>
      <c r="C33" s="256">
        <f>SUM(C29:C32)</f>
        <v>268.18406249999998</v>
      </c>
      <c r="D33" s="256">
        <f>SUM(D29:D32)</f>
        <v>306.65255000000008</v>
      </c>
      <c r="E33" s="256">
        <f>SUM(E29:E32)</f>
        <v>348.91747750000002</v>
      </c>
      <c r="F33" s="256">
        <f>SUM(F29:F32)</f>
        <v>395.10491500000001</v>
      </c>
      <c r="G33" s="256">
        <f t="shared" ref="G33:K33" si="6">SUM(G29:G32)</f>
        <v>443.28304750000001</v>
      </c>
      <c r="H33" s="256">
        <f t="shared" si="6"/>
        <v>496.56094000000007</v>
      </c>
      <c r="I33" s="256">
        <f t="shared" si="6"/>
        <v>552.96230250000008</v>
      </c>
      <c r="J33" s="256">
        <f t="shared" si="6"/>
        <v>616.49217499999997</v>
      </c>
      <c r="K33" s="256">
        <f t="shared" si="6"/>
        <v>682.39037250000001</v>
      </c>
    </row>
    <row r="34" spans="1:11" x14ac:dyDescent="0.25">
      <c r="A34" s="253" t="s">
        <v>571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</row>
    <row r="35" spans="1:11" x14ac:dyDescent="0.25">
      <c r="A35" s="261" t="s">
        <v>583</v>
      </c>
      <c r="B35" s="255">
        <f>+'P&amp;L'!B21*0.9</f>
        <v>196.76250000000002</v>
      </c>
      <c r="C35" s="255">
        <f>+'P&amp;L'!C21*0.9</f>
        <v>227.18321999999998</v>
      </c>
      <c r="D35" s="255">
        <f>+'P&amp;L'!D21*0.9</f>
        <v>259.85916000000003</v>
      </c>
      <c r="E35" s="255">
        <f>+'P&amp;L'!E21*0.9</f>
        <v>295.91109</v>
      </c>
      <c r="F35" s="255">
        <f>+'P&amp;L'!F21*0.9</f>
        <v>334.24398000000002</v>
      </c>
      <c r="G35" s="255">
        <f>+'P&amp;L'!G21*0.9</f>
        <v>376.39224000000002</v>
      </c>
      <c r="H35" s="255">
        <f>+'P&amp;L'!H21*0.9</f>
        <v>421.17336000000006</v>
      </c>
      <c r="I35" s="255">
        <f>+'P&amp;L'!I21*0.9</f>
        <v>470.24819999999994</v>
      </c>
      <c r="J35" s="255">
        <f>+'P&amp;L'!J21*0.9</f>
        <v>522.35334000000012</v>
      </c>
      <c r="K35" s="255">
        <f>+'P&amp;L'!K21*0.9</f>
        <v>579.40244999999993</v>
      </c>
    </row>
    <row r="36" spans="1:11" x14ac:dyDescent="0.25">
      <c r="A36" s="254" t="s">
        <v>572</v>
      </c>
      <c r="B36" s="255">
        <f>+'P&amp;L'!B23</f>
        <v>13.976649999999999</v>
      </c>
      <c r="C36" s="255">
        <f>+'P&amp;L'!C23</f>
        <v>14.670482500000002</v>
      </c>
      <c r="D36" s="255">
        <f>+'P&amp;L'!D23</f>
        <v>15.399006625</v>
      </c>
      <c r="E36" s="255">
        <f>+'P&amp;L'!E23</f>
        <v>16.163956956250004</v>
      </c>
      <c r="F36" s="255">
        <f>+'P&amp;L'!F23</f>
        <v>16.967154804062503</v>
      </c>
      <c r="G36" s="255">
        <f>+'P&amp;L'!G23</f>
        <v>17.810512544265631</v>
      </c>
      <c r="H36" s="255">
        <f>+'P&amp;L'!H23</f>
        <v>18.696038171478911</v>
      </c>
      <c r="I36" s="255">
        <f>+'P&amp;L'!I23</f>
        <v>19.625840080052857</v>
      </c>
      <c r="J36" s="255">
        <f>+'P&amp;L'!J23</f>
        <v>20.602132084055501</v>
      </c>
      <c r="K36" s="255">
        <f>+'P&amp;L'!K23</f>
        <v>21.627238688258277</v>
      </c>
    </row>
    <row r="37" spans="1:11" x14ac:dyDescent="0.25">
      <c r="A37" s="254" t="s">
        <v>335</v>
      </c>
      <c r="B37" s="255">
        <f>+'P&amp;L'!B25</f>
        <v>12.478999999999999</v>
      </c>
      <c r="C37" s="255">
        <f>+'P&amp;L'!C25</f>
        <v>14.334940000000001</v>
      </c>
      <c r="D37" s="255">
        <f>+'P&amp;L'!D25</f>
        <v>16.115199999999998</v>
      </c>
      <c r="E37" s="255">
        <f>+'P&amp;L'!E25</f>
        <v>18.122140000000002</v>
      </c>
      <c r="F37" s="255">
        <f>+'P&amp;L'!F25</f>
        <v>20.066400000000002</v>
      </c>
      <c r="G37" s="255">
        <f>+'P&amp;L'!G25</f>
        <v>22.244340000000001</v>
      </c>
      <c r="H37" s="255">
        <f>+'P&amp;L'!H25</f>
        <v>24.382600000000004</v>
      </c>
      <c r="I37" s="255">
        <f>+'P&amp;L'!I25</f>
        <v>25.975540000000006</v>
      </c>
      <c r="J37" s="255">
        <f>+'P&amp;L'!J25</f>
        <v>27.412800000000004</v>
      </c>
      <c r="K37" s="255">
        <f>+'P&amp;L'!K25</f>
        <v>29.005740000000003</v>
      </c>
    </row>
    <row r="38" spans="1:11" x14ac:dyDescent="0.25">
      <c r="A38" s="253" t="s">
        <v>573</v>
      </c>
      <c r="B38" s="256">
        <f>SUM(B35:B37)</f>
        <v>223.21815000000004</v>
      </c>
      <c r="C38" s="256">
        <f t="shared" ref="C38:K38" si="7">SUM(C35:C37)</f>
        <v>256.18864249999996</v>
      </c>
      <c r="D38" s="256">
        <f t="shared" si="7"/>
        <v>291.37336662500007</v>
      </c>
      <c r="E38" s="256">
        <f t="shared" si="7"/>
        <v>330.19718695624999</v>
      </c>
      <c r="F38" s="256">
        <f t="shared" si="7"/>
        <v>371.2775348040625</v>
      </c>
      <c r="G38" s="256">
        <f t="shared" si="7"/>
        <v>416.44709254426567</v>
      </c>
      <c r="H38" s="256">
        <f t="shared" si="7"/>
        <v>464.25199817147899</v>
      </c>
      <c r="I38" s="256">
        <f t="shared" si="7"/>
        <v>515.84958008005276</v>
      </c>
      <c r="J38" s="256">
        <f t="shared" si="7"/>
        <v>570.36827208405566</v>
      </c>
      <c r="K38" s="256">
        <f t="shared" si="7"/>
        <v>630.03542868825821</v>
      </c>
    </row>
    <row r="39" spans="1:11" x14ac:dyDescent="0.25">
      <c r="A39" s="257" t="s">
        <v>574</v>
      </c>
      <c r="B39" s="258">
        <f>B33-B38</f>
        <v>9.2593499999999835</v>
      </c>
      <c r="C39" s="258">
        <f>C33-C38</f>
        <v>11.995420000000024</v>
      </c>
      <c r="D39" s="258">
        <f>D33-D38</f>
        <v>15.279183375000002</v>
      </c>
      <c r="E39" s="258">
        <f>E33-E38</f>
        <v>18.720290543750025</v>
      </c>
      <c r="F39" s="258">
        <f>F33-F38</f>
        <v>23.827380195937508</v>
      </c>
      <c r="G39" s="258">
        <f t="shared" ref="G39:K39" si="8">G33-G38</f>
        <v>26.835954955734337</v>
      </c>
      <c r="H39" s="258">
        <f t="shared" si="8"/>
        <v>32.308941828521085</v>
      </c>
      <c r="I39" s="258">
        <f t="shared" si="8"/>
        <v>37.112722419947318</v>
      </c>
      <c r="J39" s="258">
        <f t="shared" si="8"/>
        <v>46.123902915944313</v>
      </c>
      <c r="K39" s="258">
        <f t="shared" si="8"/>
        <v>52.354943811741805</v>
      </c>
    </row>
    <row r="40" spans="1:11" x14ac:dyDescent="0.25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0"/>
    </row>
    <row r="41" spans="1:11" x14ac:dyDescent="0.25">
      <c r="A41" s="253" t="s">
        <v>577</v>
      </c>
      <c r="B41" s="253" t="s">
        <v>565</v>
      </c>
      <c r="C41" s="253" t="s">
        <v>566</v>
      </c>
      <c r="D41" s="253" t="s">
        <v>567</v>
      </c>
      <c r="E41" s="253" t="s">
        <v>568</v>
      </c>
      <c r="F41" s="253" t="s">
        <v>569</v>
      </c>
      <c r="G41" s="253" t="s">
        <v>578</v>
      </c>
      <c r="H41" s="253" t="s">
        <v>579</v>
      </c>
      <c r="I41" s="253" t="s">
        <v>580</v>
      </c>
      <c r="J41" s="253" t="s">
        <v>581</v>
      </c>
      <c r="K41" s="253" t="s">
        <v>582</v>
      </c>
    </row>
    <row r="42" spans="1:11" x14ac:dyDescent="0.25">
      <c r="A42" s="254" t="str">
        <f>+A29</f>
        <v xml:space="preserve">Revenue from Sale </v>
      </c>
      <c r="B42" s="255">
        <f>+'P&amp;L'!B5</f>
        <v>235.60000000000002</v>
      </c>
      <c r="C42" s="255">
        <f>+'P&amp;L'!C5</f>
        <v>283.60500000000002</v>
      </c>
      <c r="D42" s="255">
        <f>+'P&amp;L'!D5</f>
        <v>323.63500000000005</v>
      </c>
      <c r="E42" s="255">
        <f>+'P&amp;L'!E5</f>
        <v>370.50260000000003</v>
      </c>
      <c r="F42" s="255">
        <f>+'P&amp;L'!F5</f>
        <v>417.41210000000001</v>
      </c>
      <c r="G42" s="255">
        <f>+'P&amp;L'!G5</f>
        <v>469.49740000000003</v>
      </c>
      <c r="H42" s="255">
        <f>+'P&amp;L'!H5</f>
        <v>526.47760000000005</v>
      </c>
      <c r="I42" s="255">
        <f>+'P&amp;L'!I5</f>
        <v>586.79810000000009</v>
      </c>
      <c r="J42" s="255">
        <f>+'P&amp;L'!J5</f>
        <v>653.08349999999996</v>
      </c>
      <c r="K42" s="255">
        <f>+'P&amp;L'!K5</f>
        <v>723.98489999999993</v>
      </c>
    </row>
    <row r="43" spans="1:11" x14ac:dyDescent="0.25">
      <c r="A43" s="254" t="str">
        <f>+A30</f>
        <v>Revenue- Service Charges - Dal Milling</v>
      </c>
      <c r="B43" s="255">
        <f>+'P&amp;L'!B6</f>
        <v>10.875</v>
      </c>
      <c r="C43" s="255">
        <f>+'P&amp;L'!C6</f>
        <v>12.560625000000002</v>
      </c>
      <c r="D43" s="255">
        <f>+'P&amp;L'!D6</f>
        <v>14.386500000000002</v>
      </c>
      <c r="E43" s="255">
        <f>+'P&amp;L'!E6</f>
        <v>16.365375000000004</v>
      </c>
      <c r="F43" s="255">
        <f>+'P&amp;L'!F6</f>
        <v>18.506250000000005</v>
      </c>
      <c r="G43" s="255">
        <f>+'P&amp;L'!G6</f>
        <v>20.536875000000006</v>
      </c>
      <c r="H43" s="255">
        <f>+'P&amp;L'!H6</f>
        <v>22.704000000000008</v>
      </c>
      <c r="I43" s="255">
        <f>+'P&amp;L'!I6</f>
        <v>25.009125000000008</v>
      </c>
      <c r="J43" s="255">
        <f>+'P&amp;L'!J6</f>
        <v>27.803250000000009</v>
      </c>
      <c r="K43" s="255">
        <f>+'P&amp;L'!K6</f>
        <v>30.815625000000015</v>
      </c>
    </row>
    <row r="44" spans="1:11" hidden="1" x14ac:dyDescent="0.25">
      <c r="A44" s="254" t="str">
        <f>+A31</f>
        <v>Revenue from Weigh Bridge operation</v>
      </c>
      <c r="B44" s="255">
        <f>+'P&amp;L'!B8</f>
        <v>0</v>
      </c>
      <c r="C44" s="255">
        <f>+'P&amp;L'!C8</f>
        <v>0</v>
      </c>
      <c r="D44" s="255">
        <f>+'P&amp;L'!D8</f>
        <v>0</v>
      </c>
      <c r="E44" s="255">
        <f>+'P&amp;L'!E8</f>
        <v>0</v>
      </c>
      <c r="F44" s="255">
        <f>+'P&amp;L'!F8</f>
        <v>0</v>
      </c>
      <c r="G44" s="255">
        <f>+'P&amp;L'!G8</f>
        <v>0</v>
      </c>
      <c r="H44" s="255">
        <f>+'P&amp;L'!H8</f>
        <v>0</v>
      </c>
      <c r="I44" s="255">
        <f>+'P&amp;L'!I8</f>
        <v>0</v>
      </c>
      <c r="J44" s="255">
        <f>+'P&amp;L'!J8</f>
        <v>0</v>
      </c>
      <c r="K44" s="255">
        <f>+'P&amp;L'!K8</f>
        <v>0</v>
      </c>
    </row>
    <row r="45" spans="1:11" x14ac:dyDescent="0.25">
      <c r="A45" s="254" t="str">
        <f>+A32</f>
        <v>Change in Closing Stock of FG</v>
      </c>
      <c r="B45" s="255">
        <f>+'P&amp;L'!B12-'P&amp;L'!B11</f>
        <v>10.650000000000002</v>
      </c>
      <c r="C45" s="255">
        <f>+'P&amp;L'!C12-'P&amp;L'!C11</f>
        <v>1.634999999999998</v>
      </c>
      <c r="D45" s="255">
        <f>+'P&amp;L'!D12-'P&amp;L'!D11</f>
        <v>2.4331999999999994</v>
      </c>
      <c r="E45" s="255">
        <f>+'P&amp;L'!E12-'P&amp;L'!E11</f>
        <v>0.73629999999999995</v>
      </c>
      <c r="F45" s="255">
        <f>+'P&amp;L'!F12-'P&amp;L'!F11</f>
        <v>2.7784000000000049</v>
      </c>
      <c r="G45" s="255">
        <f>+'P&amp;L'!G12-'P&amp;L'!G11</f>
        <v>2.2521999999999984</v>
      </c>
      <c r="H45" s="255">
        <f>+'P&amp;L'!H12-'P&amp;L'!H11</f>
        <v>2.2974999999999959</v>
      </c>
      <c r="I45" s="255">
        <f>+'P&amp;L'!I12-'P&amp;L'!I11</f>
        <v>2.3358000000000025</v>
      </c>
      <c r="J45" s="255">
        <f>+'P&amp;L'!J12-'P&amp;L'!J11</f>
        <v>3.6941000000000024</v>
      </c>
      <c r="K45" s="255">
        <f>+'P&amp;L'!K12-'P&amp;L'!K11</f>
        <v>3.0699000000000005</v>
      </c>
    </row>
    <row r="46" spans="1:11" x14ac:dyDescent="0.25">
      <c r="A46" s="253" t="s">
        <v>570</v>
      </c>
      <c r="B46" s="256">
        <f>SUM(B42:B45)</f>
        <v>257.125</v>
      </c>
      <c r="C46" s="256">
        <f>SUM(C42:C45)</f>
        <v>297.80062500000003</v>
      </c>
      <c r="D46" s="256">
        <f>SUM(D42:D45)</f>
        <v>340.45470000000006</v>
      </c>
      <c r="E46" s="256">
        <f>SUM(E42:E45)</f>
        <v>387.60427500000003</v>
      </c>
      <c r="F46" s="256">
        <f>SUM(F42:F45)</f>
        <v>438.69675000000007</v>
      </c>
      <c r="G46" s="256">
        <f t="shared" ref="G46:K46" si="9">SUM(G42:G45)</f>
        <v>492.28647500000005</v>
      </c>
      <c r="H46" s="256">
        <f t="shared" si="9"/>
        <v>551.47910000000013</v>
      </c>
      <c r="I46" s="256">
        <f t="shared" si="9"/>
        <v>614.14302500000008</v>
      </c>
      <c r="J46" s="256">
        <f t="shared" si="9"/>
        <v>684.58085000000005</v>
      </c>
      <c r="K46" s="256">
        <f t="shared" si="9"/>
        <v>757.87042499999995</v>
      </c>
    </row>
    <row r="47" spans="1:11" x14ac:dyDescent="0.25">
      <c r="A47" s="253" t="s">
        <v>571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</row>
    <row r="48" spans="1:11" x14ac:dyDescent="0.25">
      <c r="A48" s="261" t="s">
        <v>583</v>
      </c>
      <c r="B48" s="255">
        <f>+'P&amp;L'!B21*0.9</f>
        <v>196.76250000000002</v>
      </c>
      <c r="C48" s="255">
        <f>+'P&amp;L'!C21*0.9</f>
        <v>227.18321999999998</v>
      </c>
      <c r="D48" s="255">
        <f>+'P&amp;L'!D21*0.9</f>
        <v>259.85916000000003</v>
      </c>
      <c r="E48" s="255">
        <f>+'P&amp;L'!E21*0.9</f>
        <v>295.91109</v>
      </c>
      <c r="F48" s="255">
        <f>+'P&amp;L'!F21*0.9</f>
        <v>334.24398000000002</v>
      </c>
      <c r="G48" s="255">
        <f>+'P&amp;L'!G21*0.9</f>
        <v>376.39224000000002</v>
      </c>
      <c r="H48" s="255">
        <f>+'P&amp;L'!H21*0.9</f>
        <v>421.17336000000006</v>
      </c>
      <c r="I48" s="255">
        <f>+'P&amp;L'!I21*0.9</f>
        <v>470.24819999999994</v>
      </c>
      <c r="J48" s="255">
        <f>+'P&amp;L'!J21*0.9</f>
        <v>522.35334000000012</v>
      </c>
      <c r="K48" s="255">
        <f>+'P&amp;L'!K21*0.9</f>
        <v>579.40244999999993</v>
      </c>
    </row>
    <row r="49" spans="1:11" x14ac:dyDescent="0.25">
      <c r="A49" s="254" t="s">
        <v>572</v>
      </c>
      <c r="B49" s="255">
        <f>+'P&amp;L'!B23*0.9</f>
        <v>12.578984999999999</v>
      </c>
      <c r="C49" s="255">
        <f>+'P&amp;L'!C23*0.9</f>
        <v>13.203434250000003</v>
      </c>
      <c r="D49" s="255">
        <f>+'P&amp;L'!D23*0.9</f>
        <v>13.859105962500001</v>
      </c>
      <c r="E49" s="255">
        <f>+'P&amp;L'!E23*0.9</f>
        <v>14.547561260625004</v>
      </c>
      <c r="F49" s="255">
        <f>+'P&amp;L'!F23*0.9</f>
        <v>15.270439323656253</v>
      </c>
      <c r="G49" s="255">
        <f>+'P&amp;L'!G23*0.9</f>
        <v>16.02946128983907</v>
      </c>
      <c r="H49" s="255">
        <f>+'P&amp;L'!H23*0.9</f>
        <v>16.82643435433102</v>
      </c>
      <c r="I49" s="255">
        <f>+'P&amp;L'!I23*0.9</f>
        <v>17.66325607204757</v>
      </c>
      <c r="J49" s="255">
        <f>+'P&amp;L'!J23*0.9</f>
        <v>18.541918875649952</v>
      </c>
      <c r="K49" s="255">
        <f>+'P&amp;L'!K23*0.9</f>
        <v>19.464514819432448</v>
      </c>
    </row>
    <row r="50" spans="1:11" x14ac:dyDescent="0.25">
      <c r="A50" s="254" t="s">
        <v>335</v>
      </c>
      <c r="B50" s="255">
        <f>+'P&amp;L'!B25*0.9</f>
        <v>11.2311</v>
      </c>
      <c r="C50" s="255">
        <f>+'P&amp;L'!C25*0.9</f>
        <v>12.901446000000002</v>
      </c>
      <c r="D50" s="255">
        <f>+'P&amp;L'!D25*0.9</f>
        <v>14.503679999999999</v>
      </c>
      <c r="E50" s="255">
        <f>+'P&amp;L'!E25*0.9</f>
        <v>16.309926000000001</v>
      </c>
      <c r="F50" s="255">
        <f>+'P&amp;L'!F25*0.9</f>
        <v>18.059760000000001</v>
      </c>
      <c r="G50" s="255">
        <f>+'P&amp;L'!G25*0.9</f>
        <v>20.019906000000002</v>
      </c>
      <c r="H50" s="255">
        <f>+'P&amp;L'!H25*0.9</f>
        <v>21.944340000000004</v>
      </c>
      <c r="I50" s="255">
        <f>+'P&amp;L'!I25*0.9</f>
        <v>23.377986000000007</v>
      </c>
      <c r="J50" s="255">
        <f>+'P&amp;L'!J25*0.9</f>
        <v>24.671520000000005</v>
      </c>
      <c r="K50" s="255">
        <f>+'P&amp;L'!K25*0.9</f>
        <v>26.105166000000004</v>
      </c>
    </row>
    <row r="51" spans="1:11" x14ac:dyDescent="0.25">
      <c r="A51" s="253" t="s">
        <v>573</v>
      </c>
      <c r="B51" s="256">
        <f>SUM(B48:B50)</f>
        <v>220.572585</v>
      </c>
      <c r="C51" s="256">
        <f t="shared" ref="C51:K51" si="10">SUM(C48:C50)</f>
        <v>253.28810024999999</v>
      </c>
      <c r="D51" s="256">
        <f t="shared" si="10"/>
        <v>288.2219459625</v>
      </c>
      <c r="E51" s="256">
        <f t="shared" si="10"/>
        <v>326.76857726062502</v>
      </c>
      <c r="F51" s="256">
        <f t="shared" si="10"/>
        <v>367.57417932365627</v>
      </c>
      <c r="G51" s="256">
        <f t="shared" si="10"/>
        <v>412.44160728983906</v>
      </c>
      <c r="H51" s="256">
        <f t="shared" si="10"/>
        <v>459.94413435433108</v>
      </c>
      <c r="I51" s="256">
        <f t="shared" si="10"/>
        <v>511.28944207204751</v>
      </c>
      <c r="J51" s="256">
        <f t="shared" si="10"/>
        <v>565.56677887565002</v>
      </c>
      <c r="K51" s="256">
        <f t="shared" si="10"/>
        <v>624.97213081943244</v>
      </c>
    </row>
    <row r="52" spans="1:11" x14ac:dyDescent="0.25">
      <c r="A52" s="257" t="s">
        <v>574</v>
      </c>
      <c r="B52" s="258">
        <f>B46-B51</f>
        <v>36.552414999999996</v>
      </c>
      <c r="C52" s="258">
        <f>C46-C51</f>
        <v>44.51252475000004</v>
      </c>
      <c r="D52" s="258">
        <f>D46-D51</f>
        <v>52.232754037500058</v>
      </c>
      <c r="E52" s="258">
        <f>E46-E51</f>
        <v>60.835697739375007</v>
      </c>
      <c r="F52" s="258">
        <f>F46-F51</f>
        <v>71.122570676343798</v>
      </c>
      <c r="G52" s="258">
        <f t="shared" ref="G52:K52" si="11">G46-G51</f>
        <v>79.844867710160997</v>
      </c>
      <c r="H52" s="258">
        <f t="shared" si="11"/>
        <v>91.534965645669047</v>
      </c>
      <c r="I52" s="258">
        <f t="shared" si="11"/>
        <v>102.85358292795257</v>
      </c>
      <c r="J52" s="258">
        <f t="shared" si="11"/>
        <v>119.01407112435004</v>
      </c>
      <c r="K52" s="258">
        <f t="shared" si="11"/>
        <v>132.89829418056752</v>
      </c>
    </row>
  </sheetData>
  <mergeCells count="1">
    <mergeCell ref="A1:K1"/>
  </mergeCells>
  <pageMargins left="0.7" right="0.7" top="0.75" bottom="0.75" header="0.3" footer="0.3"/>
  <pageSetup scale="6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topLeftCell="A21" zoomScaleNormal="100" zoomScaleSheetLayoutView="100" workbookViewId="0">
      <selection activeCell="G5" sqref="G5"/>
    </sheetView>
  </sheetViews>
  <sheetFormatPr defaultColWidth="9.140625" defaultRowHeight="15" x14ac:dyDescent="0.25"/>
  <cols>
    <col min="1" max="1" width="34.28515625" customWidth="1"/>
    <col min="2" max="2" width="9.5703125" bestFit="1" customWidth="1"/>
    <col min="3" max="3" width="11.140625" customWidth="1"/>
  </cols>
  <sheetData>
    <row r="1" spans="1:17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7" s="269" customFormat="1" x14ac:dyDescent="0.25">
      <c r="A2" s="286" t="s">
        <v>602</v>
      </c>
      <c r="B2" s="287" t="s">
        <v>36</v>
      </c>
      <c r="C2" s="287" t="s">
        <v>37</v>
      </c>
      <c r="D2" s="287" t="s">
        <v>38</v>
      </c>
      <c r="E2" s="287" t="s">
        <v>39</v>
      </c>
      <c r="F2" s="287" t="s">
        <v>40</v>
      </c>
      <c r="G2" s="287" t="s">
        <v>41</v>
      </c>
      <c r="H2" s="287" t="s">
        <v>42</v>
      </c>
      <c r="I2" s="287" t="s">
        <v>495</v>
      </c>
      <c r="J2" s="287" t="s">
        <v>496</v>
      </c>
      <c r="K2" s="287" t="s">
        <v>497</v>
      </c>
      <c r="M2" s="269">
        <f>840+630</f>
        <v>1470</v>
      </c>
    </row>
    <row r="3" spans="1:17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7" x14ac:dyDescent="0.25">
      <c r="A4" s="18" t="s">
        <v>600</v>
      </c>
      <c r="B4" s="288">
        <v>513</v>
      </c>
      <c r="C4" s="288">
        <f>ROUND(B4*120%,0)</f>
        <v>616</v>
      </c>
      <c r="D4" s="288">
        <f t="shared" ref="D4:K4" si="0">ROUND(C4*120%,0)</f>
        <v>739</v>
      </c>
      <c r="E4" s="288">
        <f t="shared" si="0"/>
        <v>887</v>
      </c>
      <c r="F4" s="288">
        <f t="shared" si="0"/>
        <v>1064</v>
      </c>
      <c r="G4" s="288">
        <f t="shared" si="0"/>
        <v>1277</v>
      </c>
      <c r="H4" s="288">
        <f t="shared" si="0"/>
        <v>1532</v>
      </c>
      <c r="I4" s="288">
        <f t="shared" si="0"/>
        <v>1838</v>
      </c>
      <c r="J4" s="288">
        <f t="shared" si="0"/>
        <v>2206</v>
      </c>
      <c r="K4" s="288">
        <f t="shared" si="0"/>
        <v>2647</v>
      </c>
      <c r="M4" s="330">
        <f>840/M2%</f>
        <v>57.142857142857146</v>
      </c>
    </row>
    <row r="5" spans="1:17" x14ac:dyDescent="0.25">
      <c r="A5" s="18" t="s">
        <v>601</v>
      </c>
      <c r="B5" s="288">
        <v>800</v>
      </c>
      <c r="C5" s="288">
        <f>B5-(C4-B4)</f>
        <v>697</v>
      </c>
      <c r="D5" s="288">
        <f t="shared" ref="D5:G5" si="1">C5-(D4-C4)</f>
        <v>574</v>
      </c>
      <c r="E5" s="288">
        <f t="shared" si="1"/>
        <v>426</v>
      </c>
      <c r="F5" s="288">
        <f t="shared" si="1"/>
        <v>249</v>
      </c>
      <c r="G5" s="288">
        <f t="shared" si="1"/>
        <v>36</v>
      </c>
      <c r="H5" s="288">
        <v>0</v>
      </c>
      <c r="I5" s="288">
        <v>0</v>
      </c>
      <c r="J5" s="288">
        <v>0</v>
      </c>
      <c r="K5" s="288">
        <v>0</v>
      </c>
      <c r="M5">
        <f>630/M2%</f>
        <v>42.857142857142861</v>
      </c>
    </row>
    <row r="6" spans="1:17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7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M7">
        <f>11430/840</f>
        <v>13.607142857142858</v>
      </c>
    </row>
    <row r="8" spans="1:17" s="269" customFormat="1" x14ac:dyDescent="0.25">
      <c r="A8" s="281" t="s">
        <v>743</v>
      </c>
      <c r="B8" s="287" t="s">
        <v>36</v>
      </c>
      <c r="C8" s="287" t="s">
        <v>37</v>
      </c>
      <c r="D8" s="287" t="s">
        <v>38</v>
      </c>
      <c r="E8" s="287" t="s">
        <v>39</v>
      </c>
      <c r="F8" s="287" t="s">
        <v>40</v>
      </c>
      <c r="G8" s="287" t="s">
        <v>41</v>
      </c>
      <c r="H8" s="287" t="s">
        <v>42</v>
      </c>
      <c r="I8" s="287" t="s">
        <v>495</v>
      </c>
      <c r="J8" s="287" t="s">
        <v>496</v>
      </c>
      <c r="K8" s="287" t="s">
        <v>497</v>
      </c>
      <c r="O8"/>
      <c r="P8">
        <f>630*1.2</f>
        <v>756</v>
      </c>
      <c r="Q8" s="269">
        <f>P8*0.6</f>
        <v>453.59999999999997</v>
      </c>
    </row>
    <row r="9" spans="1:17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M9">
        <f>882/1260%</f>
        <v>70</v>
      </c>
    </row>
    <row r="10" spans="1:17" x14ac:dyDescent="0.25">
      <c r="A10" s="18" t="s">
        <v>600</v>
      </c>
      <c r="B10" s="289">
        <v>1260</v>
      </c>
      <c r="C10" s="289">
        <f>B10+(B11-C11)</f>
        <v>1414.5</v>
      </c>
      <c r="D10" s="289">
        <f t="shared" ref="D10:K10" si="2">C10+(C11-D11)</f>
        <v>1599</v>
      </c>
      <c r="E10" s="289">
        <f t="shared" si="2"/>
        <v>1821</v>
      </c>
      <c r="F10" s="289">
        <f t="shared" si="2"/>
        <v>2086.5</v>
      </c>
      <c r="G10" s="289">
        <f t="shared" si="2"/>
        <v>2406</v>
      </c>
      <c r="H10" s="289">
        <f t="shared" si="2"/>
        <v>2460</v>
      </c>
      <c r="I10" s="289">
        <f t="shared" si="2"/>
        <v>2460</v>
      </c>
      <c r="J10" s="289">
        <f t="shared" si="2"/>
        <v>2460</v>
      </c>
      <c r="K10" s="289">
        <f t="shared" si="2"/>
        <v>2460</v>
      </c>
    </row>
    <row r="11" spans="1:17" x14ac:dyDescent="0.25">
      <c r="A11" s="18" t="s">
        <v>601</v>
      </c>
      <c r="B11" s="289">
        <f>B5*1.5</f>
        <v>1200</v>
      </c>
      <c r="C11" s="289">
        <f t="shared" ref="C11:K11" si="3">C5*1.5</f>
        <v>1045.5</v>
      </c>
      <c r="D11" s="289">
        <f t="shared" si="3"/>
        <v>861</v>
      </c>
      <c r="E11" s="289">
        <f t="shared" si="3"/>
        <v>639</v>
      </c>
      <c r="F11" s="289">
        <f t="shared" si="3"/>
        <v>373.5</v>
      </c>
      <c r="G11" s="289">
        <f t="shared" si="3"/>
        <v>54</v>
      </c>
      <c r="H11" s="289">
        <f t="shared" si="3"/>
        <v>0</v>
      </c>
      <c r="I11" s="289">
        <f t="shared" si="3"/>
        <v>0</v>
      </c>
      <c r="J11" s="289">
        <f t="shared" si="3"/>
        <v>0</v>
      </c>
      <c r="K11" s="289">
        <f t="shared" si="3"/>
        <v>0</v>
      </c>
      <c r="M11" s="331">
        <f>6860/632</f>
        <v>10.854430379746836</v>
      </c>
    </row>
    <row r="12" spans="1:17" x14ac:dyDescent="0.25">
      <c r="A12" s="18"/>
      <c r="B12" s="288"/>
      <c r="C12" s="288"/>
      <c r="D12" s="288"/>
      <c r="E12" s="288"/>
      <c r="F12" s="288"/>
      <c r="G12" s="288"/>
      <c r="H12" s="288"/>
      <c r="I12" s="288"/>
      <c r="J12" s="288"/>
      <c r="K12" s="288"/>
    </row>
    <row r="13" spans="1:17" s="269" customFormat="1" x14ac:dyDescent="0.25">
      <c r="A13" s="281" t="s">
        <v>744</v>
      </c>
      <c r="B13" s="290">
        <f>SUM(B10:B12)</f>
        <v>2460</v>
      </c>
      <c r="C13" s="290">
        <f t="shared" ref="C13:K13" si="4">SUM(C10:C12)</f>
        <v>2460</v>
      </c>
      <c r="D13" s="290">
        <f t="shared" si="4"/>
        <v>2460</v>
      </c>
      <c r="E13" s="290">
        <f t="shared" si="4"/>
        <v>2460</v>
      </c>
      <c r="F13" s="290">
        <f t="shared" si="4"/>
        <v>2460</v>
      </c>
      <c r="G13" s="290">
        <f t="shared" si="4"/>
        <v>2460</v>
      </c>
      <c r="H13" s="290">
        <f t="shared" si="4"/>
        <v>2460</v>
      </c>
      <c r="I13" s="290">
        <f t="shared" si="4"/>
        <v>2460</v>
      </c>
      <c r="J13" s="290">
        <f t="shared" si="4"/>
        <v>2460</v>
      </c>
      <c r="K13" s="290">
        <f t="shared" si="4"/>
        <v>2460</v>
      </c>
      <c r="M13" s="269">
        <f>4110/6857%</f>
        <v>59.938748723931752</v>
      </c>
    </row>
    <row r="14" spans="1:17" s="269" customFormat="1" x14ac:dyDescent="0.25">
      <c r="A14" s="281"/>
      <c r="B14" s="290"/>
      <c r="C14" s="290"/>
      <c r="D14" s="290"/>
      <c r="E14" s="290"/>
      <c r="F14" s="290"/>
      <c r="G14" s="290"/>
      <c r="H14" s="290"/>
      <c r="I14" s="290"/>
      <c r="J14" s="290"/>
      <c r="K14" s="290"/>
    </row>
    <row r="15" spans="1:17" s="269" customFormat="1" x14ac:dyDescent="0.25">
      <c r="A15" s="281"/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N15" s="269">
        <f>24600/840</f>
        <v>29.285714285714285</v>
      </c>
    </row>
    <row r="16" spans="1:17" s="269" customFormat="1" x14ac:dyDescent="0.25">
      <c r="A16" s="281" t="s">
        <v>747</v>
      </c>
      <c r="B16" s="287" t="s">
        <v>36</v>
      </c>
      <c r="C16" s="287" t="s">
        <v>37</v>
      </c>
      <c r="D16" s="287" t="s">
        <v>38</v>
      </c>
      <c r="E16" s="287" t="s">
        <v>39</v>
      </c>
      <c r="F16" s="287" t="s">
        <v>40</v>
      </c>
      <c r="G16" s="287" t="s">
        <v>41</v>
      </c>
      <c r="H16" s="287" t="s">
        <v>42</v>
      </c>
      <c r="I16" s="287" t="s">
        <v>495</v>
      </c>
      <c r="J16" s="287" t="s">
        <v>496</v>
      </c>
      <c r="K16" s="287" t="s">
        <v>497</v>
      </c>
      <c r="N16" s="269">
        <f>17160/630</f>
        <v>27.238095238095237</v>
      </c>
    </row>
    <row r="17" spans="1:19" s="269" customForma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9" s="269" customFormat="1" x14ac:dyDescent="0.25">
      <c r="A18" s="18" t="s">
        <v>600</v>
      </c>
      <c r="B18" s="289">
        <v>756</v>
      </c>
      <c r="C18" s="289">
        <f>B18+(B19-C19)</f>
        <v>879.6</v>
      </c>
      <c r="D18" s="289">
        <f t="shared" ref="D18" si="5">C18+(C19-D19)</f>
        <v>1027.2</v>
      </c>
      <c r="E18" s="289">
        <f t="shared" ref="E18" si="6">D18+(D19-E19)</f>
        <v>1204.8</v>
      </c>
      <c r="F18" s="289">
        <f t="shared" ref="F18" si="7">E18+(E19-F19)</f>
        <v>1417.1999999999998</v>
      </c>
      <c r="G18" s="289">
        <f t="shared" ref="G18" si="8">F18+(F19-G19)</f>
        <v>1672.7999999999997</v>
      </c>
      <c r="H18" s="289">
        <f t="shared" ref="H18" si="9">G18+(G19-H19)</f>
        <v>1715.9999999999998</v>
      </c>
      <c r="I18" s="289">
        <f t="shared" ref="I18" si="10">H18+(H19-I19)</f>
        <v>1715.9999999999998</v>
      </c>
      <c r="J18" s="289">
        <f t="shared" ref="J18" si="11">I18+(I19-J19)</f>
        <v>1715.9999999999998</v>
      </c>
      <c r="K18" s="289">
        <f t="shared" ref="K18" si="12">J18+(J19-K19)</f>
        <v>1715.9999999999998</v>
      </c>
      <c r="P18" s="269">
        <f>430-385</f>
        <v>45</v>
      </c>
    </row>
    <row r="19" spans="1:19" s="269" customFormat="1" x14ac:dyDescent="0.25">
      <c r="A19" s="18" t="s">
        <v>601</v>
      </c>
      <c r="B19" s="289">
        <f>B5*1.2</f>
        <v>960</v>
      </c>
      <c r="C19" s="289">
        <f t="shared" ref="C19:K19" si="13">C5*1.2</f>
        <v>836.4</v>
      </c>
      <c r="D19" s="289">
        <f t="shared" si="13"/>
        <v>688.8</v>
      </c>
      <c r="E19" s="289">
        <f t="shared" si="13"/>
        <v>511.2</v>
      </c>
      <c r="F19" s="289">
        <f t="shared" si="13"/>
        <v>298.8</v>
      </c>
      <c r="G19" s="289">
        <f t="shared" si="13"/>
        <v>43.199999999999996</v>
      </c>
      <c r="H19" s="289">
        <f t="shared" si="13"/>
        <v>0</v>
      </c>
      <c r="I19" s="289">
        <f t="shared" si="13"/>
        <v>0</v>
      </c>
      <c r="J19" s="289">
        <f t="shared" si="13"/>
        <v>0</v>
      </c>
      <c r="K19" s="289">
        <f t="shared" si="13"/>
        <v>0</v>
      </c>
    </row>
    <row r="20" spans="1:19" s="269" customFormat="1" x14ac:dyDescent="0.25">
      <c r="A20" s="18"/>
      <c r="B20" s="288"/>
      <c r="C20" s="288"/>
      <c r="D20" s="288"/>
      <c r="E20" s="288"/>
      <c r="F20" s="288"/>
      <c r="G20" s="288"/>
      <c r="H20" s="288"/>
      <c r="I20" s="288"/>
      <c r="J20" s="288"/>
      <c r="K20" s="288"/>
    </row>
    <row r="21" spans="1:19" s="269" customFormat="1" x14ac:dyDescent="0.25">
      <c r="A21" s="281" t="s">
        <v>748</v>
      </c>
      <c r="B21" s="290">
        <f>SUM(B18:B20)</f>
        <v>1716</v>
      </c>
      <c r="C21" s="290">
        <f t="shared" ref="C21:K21" si="14">SUM(C18:C20)</f>
        <v>1716</v>
      </c>
      <c r="D21" s="290">
        <f t="shared" si="14"/>
        <v>1716</v>
      </c>
      <c r="E21" s="290">
        <f t="shared" si="14"/>
        <v>1716</v>
      </c>
      <c r="F21" s="290">
        <f t="shared" si="14"/>
        <v>1715.9999999999998</v>
      </c>
      <c r="G21" s="290">
        <f t="shared" si="14"/>
        <v>1715.9999999999998</v>
      </c>
      <c r="H21" s="290">
        <f t="shared" si="14"/>
        <v>1715.9999999999998</v>
      </c>
      <c r="I21" s="290">
        <f t="shared" si="14"/>
        <v>1715.9999999999998</v>
      </c>
      <c r="J21" s="290">
        <f t="shared" si="14"/>
        <v>1715.9999999999998</v>
      </c>
      <c r="K21" s="290">
        <f t="shared" si="14"/>
        <v>1715.9999999999998</v>
      </c>
    </row>
    <row r="22" spans="1:19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9" s="269" customFormat="1" ht="50.25" customHeight="1" x14ac:dyDescent="0.25">
      <c r="A23" s="286" t="s">
        <v>745</v>
      </c>
      <c r="B23" s="290">
        <f>B13*0.7</f>
        <v>1722</v>
      </c>
      <c r="C23" s="290">
        <f t="shared" ref="C23:K23" si="15">C13*0.7</f>
        <v>1722</v>
      </c>
      <c r="D23" s="290">
        <f t="shared" si="15"/>
        <v>1722</v>
      </c>
      <c r="E23" s="290">
        <f t="shared" si="15"/>
        <v>1722</v>
      </c>
      <c r="F23" s="290">
        <f t="shared" si="15"/>
        <v>1722</v>
      </c>
      <c r="G23" s="290">
        <f t="shared" si="15"/>
        <v>1722</v>
      </c>
      <c r="H23" s="290">
        <f t="shared" si="15"/>
        <v>1722</v>
      </c>
      <c r="I23" s="290">
        <f t="shared" si="15"/>
        <v>1722</v>
      </c>
      <c r="J23" s="290">
        <f t="shared" si="15"/>
        <v>1722</v>
      </c>
      <c r="K23" s="290">
        <f t="shared" si="15"/>
        <v>1722</v>
      </c>
      <c r="P23"/>
      <c r="Q23"/>
      <c r="R23"/>
      <c r="S23"/>
    </row>
    <row r="24" spans="1:19" s="269" customFormat="1" x14ac:dyDescent="0.25">
      <c r="A24" s="286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P24"/>
      <c r="Q24"/>
      <c r="R24"/>
      <c r="S24"/>
    </row>
    <row r="25" spans="1:19" s="269" customFormat="1" ht="35.25" customHeight="1" x14ac:dyDescent="0.25">
      <c r="A25" s="286" t="s">
        <v>746</v>
      </c>
      <c r="B25" s="290">
        <f>B21*0.6</f>
        <v>1029.5999999999999</v>
      </c>
      <c r="C25" s="290">
        <f t="shared" ref="C25:K25" si="16">C21*0.6</f>
        <v>1029.5999999999999</v>
      </c>
      <c r="D25" s="290">
        <f t="shared" si="16"/>
        <v>1029.5999999999999</v>
      </c>
      <c r="E25" s="290">
        <f t="shared" si="16"/>
        <v>1029.5999999999999</v>
      </c>
      <c r="F25" s="290">
        <f t="shared" si="16"/>
        <v>1029.5999999999999</v>
      </c>
      <c r="G25" s="290">
        <f t="shared" si="16"/>
        <v>1029.5999999999999</v>
      </c>
      <c r="H25" s="290">
        <f t="shared" si="16"/>
        <v>1029.5999999999999</v>
      </c>
      <c r="I25" s="290">
        <f t="shared" si="16"/>
        <v>1029.5999999999999</v>
      </c>
      <c r="J25" s="290">
        <f t="shared" si="16"/>
        <v>1029.5999999999999</v>
      </c>
      <c r="K25" s="290">
        <f t="shared" si="16"/>
        <v>1029.5999999999999</v>
      </c>
      <c r="P25"/>
      <c r="Q25">
        <f>1008*0.6</f>
        <v>604.79999999999995</v>
      </c>
      <c r="R25">
        <f>Q25-310</f>
        <v>294.79999999999995</v>
      </c>
      <c r="S25"/>
    </row>
    <row r="26" spans="1:19" s="269" customFormat="1" x14ac:dyDescent="0.25">
      <c r="A26" s="286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P26"/>
      <c r="Q26"/>
      <c r="R26"/>
      <c r="S26"/>
    </row>
    <row r="27" spans="1:19" s="269" customFormat="1" ht="36" customHeight="1" x14ac:dyDescent="0.25">
      <c r="A27" s="286" t="s">
        <v>749</v>
      </c>
      <c r="B27" s="287">
        <f>'Output Schedule'!B17+('Output Schedule'!B12/2)</f>
        <v>412.5</v>
      </c>
      <c r="C27" s="287">
        <f>'Output Schedule'!C17+('Output Schedule'!C12/2)</f>
        <v>453.75</v>
      </c>
      <c r="D27" s="287">
        <f>'Output Schedule'!D17+('Output Schedule'!D12/2)</f>
        <v>495</v>
      </c>
      <c r="E27" s="287">
        <f>'Output Schedule'!E17+('Output Schedule'!E12/2)</f>
        <v>536.25</v>
      </c>
      <c r="F27" s="287">
        <f>'Output Schedule'!F17+('Output Schedule'!F12/2)</f>
        <v>577.5</v>
      </c>
      <c r="G27" s="287">
        <f>'Output Schedule'!G17+('Output Schedule'!G12/2)</f>
        <v>618.75</v>
      </c>
      <c r="H27" s="287">
        <f>'Output Schedule'!H17+('Output Schedule'!H12/2)</f>
        <v>660.00000000000011</v>
      </c>
      <c r="I27" s="287">
        <f>'Output Schedule'!I17+('Output Schedule'!I12/2)</f>
        <v>701.25000000000011</v>
      </c>
      <c r="J27" s="287">
        <f>'Output Schedule'!J17+('Output Schedule'!J12/2)</f>
        <v>742.50000000000011</v>
      </c>
      <c r="K27" s="287">
        <f>'Output Schedule'!K17+('Output Schedule'!K12/2)</f>
        <v>783.75000000000023</v>
      </c>
    </row>
    <row r="28" spans="1:19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9" ht="31.5" customHeight="1" x14ac:dyDescent="0.25">
      <c r="A29" s="286" t="s">
        <v>750</v>
      </c>
      <c r="B29" s="281">
        <f>'Output Schedule'!B18+('Output Schedule'!B12/2)</f>
        <v>337.5</v>
      </c>
      <c r="C29" s="281">
        <f>'Output Schedule'!C18+('Output Schedule'!C12/2)</f>
        <v>371.25</v>
      </c>
      <c r="D29" s="281">
        <f>'Output Schedule'!D18+('Output Schedule'!D12/2)</f>
        <v>405</v>
      </c>
      <c r="E29" s="281">
        <f>'Output Schedule'!E18+('Output Schedule'!E12/2)</f>
        <v>438.75000000000006</v>
      </c>
      <c r="F29" s="281">
        <f>'Output Schedule'!F18+('Output Schedule'!F12/2)</f>
        <v>472.50000000000006</v>
      </c>
      <c r="G29" s="281">
        <f>'Output Schedule'!G18+('Output Schedule'!G12/2)</f>
        <v>506.25000000000006</v>
      </c>
      <c r="H29" s="281">
        <f>'Output Schedule'!H18+('Output Schedule'!H12/2)</f>
        <v>540.00000000000011</v>
      </c>
      <c r="I29" s="281">
        <f>'Output Schedule'!I18+('Output Schedule'!I12/2)</f>
        <v>573.75000000000011</v>
      </c>
      <c r="J29" s="281">
        <f>'Output Schedule'!J18+('Output Schedule'!J12/2)</f>
        <v>607.50000000000011</v>
      </c>
      <c r="K29" s="281">
        <f>'Output Schedule'!K18+('Output Schedule'!K12/2)</f>
        <v>641.25000000000023</v>
      </c>
    </row>
    <row r="37" spans="19:19" x14ac:dyDescent="0.25">
      <c r="S37">
        <f>347/910</f>
        <v>0.3813186813186813</v>
      </c>
    </row>
  </sheetData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60" zoomScaleNormal="100" workbookViewId="0">
      <selection activeCell="B10" sqref="B10"/>
    </sheetView>
  </sheetViews>
  <sheetFormatPr defaultColWidth="9.140625" defaultRowHeight="15" x14ac:dyDescent="0.25"/>
  <cols>
    <col min="1" max="1" width="32.7109375" style="1" bestFit="1" customWidth="1"/>
    <col min="2" max="2" width="27.5703125" style="1" bestFit="1" customWidth="1"/>
    <col min="3" max="3" width="23.7109375" style="1" bestFit="1" customWidth="1"/>
    <col min="4" max="4" width="22.28515625" style="1" bestFit="1" customWidth="1"/>
    <col min="5" max="5" width="22" style="1" bestFit="1" customWidth="1"/>
    <col min="6" max="6" width="9.140625" style="1"/>
    <col min="7" max="7" width="12" style="1" bestFit="1" customWidth="1"/>
    <col min="8" max="8" width="9.140625" style="1"/>
    <col min="9" max="9" width="12.42578125" style="1" bestFit="1" customWidth="1"/>
    <col min="10" max="10" width="6" style="1" bestFit="1" customWidth="1"/>
    <col min="11" max="11" width="9.140625" style="1"/>
    <col min="12" max="12" width="11.140625" style="1" bestFit="1" customWidth="1"/>
    <col min="13" max="16384" width="9.140625" style="1"/>
  </cols>
  <sheetData>
    <row r="1" spans="1:12" ht="18.75" x14ac:dyDescent="0.3">
      <c r="A1" s="346" t="s">
        <v>25</v>
      </c>
      <c r="B1" s="346"/>
    </row>
    <row r="2" spans="1:12" ht="15.75" x14ac:dyDescent="0.25">
      <c r="A2" s="12" t="s">
        <v>26</v>
      </c>
    </row>
    <row r="3" spans="1:12" x14ac:dyDescent="0.25">
      <c r="A3" s="15" t="s">
        <v>1</v>
      </c>
      <c r="B3" s="15" t="s">
        <v>27</v>
      </c>
      <c r="C3" s="15" t="s">
        <v>548</v>
      </c>
      <c r="D3" s="15" t="s">
        <v>629</v>
      </c>
      <c r="E3" s="15" t="s">
        <v>630</v>
      </c>
    </row>
    <row r="4" spans="1:12" x14ac:dyDescent="0.25">
      <c r="A4" s="6"/>
      <c r="B4" s="6"/>
      <c r="C4" s="6"/>
    </row>
    <row r="5" spans="1:12" x14ac:dyDescent="0.25">
      <c r="A5" s="6" t="s">
        <v>28</v>
      </c>
      <c r="B5" s="9">
        <v>0</v>
      </c>
      <c r="C5" s="245">
        <f>B5/$B$15</f>
        <v>0</v>
      </c>
      <c r="D5" s="291">
        <v>0</v>
      </c>
      <c r="E5" s="25">
        <f>B5*D5</f>
        <v>0</v>
      </c>
    </row>
    <row r="6" spans="1:12" x14ac:dyDescent="0.25">
      <c r="A6" s="6" t="s">
        <v>5</v>
      </c>
      <c r="B6" s="19">
        <f>'Capital Cost'!C6</f>
        <v>43.32</v>
      </c>
      <c r="C6" s="245">
        <f t="shared" ref="C6:C13" si="0">B6/$B$15</f>
        <v>0.41100135853050335</v>
      </c>
      <c r="D6" s="291">
        <v>0.6</v>
      </c>
      <c r="E6" s="25">
        <f t="shared" ref="E6:E13" si="1">B6*D6</f>
        <v>25.992000000000001</v>
      </c>
    </row>
    <row r="7" spans="1:12" x14ac:dyDescent="0.25">
      <c r="A7" s="6" t="s">
        <v>7</v>
      </c>
      <c r="B7" s="19">
        <v>0</v>
      </c>
      <c r="C7" s="245">
        <f t="shared" si="0"/>
        <v>0</v>
      </c>
      <c r="D7" s="291">
        <v>0</v>
      </c>
      <c r="E7" s="25">
        <f t="shared" si="1"/>
        <v>0</v>
      </c>
    </row>
    <row r="8" spans="1:12" x14ac:dyDescent="0.25">
      <c r="A8" s="10" t="s">
        <v>404</v>
      </c>
      <c r="B8" s="19">
        <f>+'Capital Cost'!C13+'Capital Cost'!C29+'Capital Cost'!C31+'Capital Cost'!C39</f>
        <v>52.589999999999989</v>
      </c>
      <c r="C8" s="245">
        <f t="shared" si="0"/>
        <v>0.49895109522435749</v>
      </c>
      <c r="D8" s="291">
        <v>0.6</v>
      </c>
      <c r="E8" s="25">
        <f t="shared" si="1"/>
        <v>31.553999999999991</v>
      </c>
    </row>
    <row r="9" spans="1:12" hidden="1" x14ac:dyDescent="0.25">
      <c r="A9" s="10" t="s">
        <v>492</v>
      </c>
      <c r="B9" s="19"/>
      <c r="C9" s="245">
        <f t="shared" si="0"/>
        <v>0</v>
      </c>
      <c r="D9" s="291"/>
      <c r="E9" s="25">
        <f t="shared" si="1"/>
        <v>0</v>
      </c>
    </row>
    <row r="10" spans="1:12" x14ac:dyDescent="0.25">
      <c r="A10" s="10" t="s">
        <v>589</v>
      </c>
      <c r="B10" s="19">
        <f>+'Capital Cost'!C43</f>
        <v>4.7954999999999997</v>
      </c>
      <c r="C10" s="245">
        <f t="shared" si="0"/>
        <v>4.5497622687743045E-2</v>
      </c>
      <c r="D10" s="291">
        <v>0.6</v>
      </c>
      <c r="E10" s="25">
        <f t="shared" si="1"/>
        <v>2.8772999999999995</v>
      </c>
    </row>
    <row r="11" spans="1:12" x14ac:dyDescent="0.25">
      <c r="A11" s="10" t="s">
        <v>405</v>
      </c>
      <c r="B11" s="19">
        <v>0</v>
      </c>
      <c r="C11" s="245">
        <f t="shared" si="0"/>
        <v>0</v>
      </c>
      <c r="D11" s="291">
        <v>0.6</v>
      </c>
      <c r="E11" s="25">
        <f t="shared" si="1"/>
        <v>0</v>
      </c>
    </row>
    <row r="12" spans="1:12" x14ac:dyDescent="0.25">
      <c r="A12" s="6" t="s">
        <v>21</v>
      </c>
      <c r="B12" s="19">
        <v>0</v>
      </c>
      <c r="C12" s="245">
        <f t="shared" si="0"/>
        <v>0</v>
      </c>
      <c r="D12" s="291">
        <v>0</v>
      </c>
      <c r="E12" s="25">
        <f t="shared" si="1"/>
        <v>0</v>
      </c>
    </row>
    <row r="13" spans="1:12" x14ac:dyDescent="0.25">
      <c r="A13" s="6" t="s">
        <v>23</v>
      </c>
      <c r="B13" s="19">
        <f>'WC Assessment'!C13</f>
        <v>4.6956114583333344</v>
      </c>
      <c r="C13" s="245">
        <f t="shared" si="0"/>
        <v>4.4549923557396086E-2</v>
      </c>
      <c r="D13" s="291">
        <v>0</v>
      </c>
      <c r="E13" s="25">
        <f t="shared" si="1"/>
        <v>0</v>
      </c>
      <c r="L13"/>
    </row>
    <row r="14" spans="1:12" x14ac:dyDescent="0.25">
      <c r="A14" s="6"/>
      <c r="B14" s="6"/>
      <c r="C14" s="6"/>
      <c r="I14"/>
      <c r="J14"/>
      <c r="K14"/>
      <c r="L14"/>
    </row>
    <row r="15" spans="1:12" x14ac:dyDescent="0.25">
      <c r="A15" s="217" t="s">
        <v>29</v>
      </c>
      <c r="B15" s="246">
        <f>SUM(B5:B14)</f>
        <v>105.40111145833333</v>
      </c>
      <c r="C15" s="247">
        <f>B15/$B$15</f>
        <v>1</v>
      </c>
      <c r="E15" s="25">
        <f>SUM(E5:E14)</f>
        <v>60.42329999999999</v>
      </c>
      <c r="I15"/>
      <c r="J15"/>
      <c r="K15"/>
      <c r="L15"/>
    </row>
    <row r="16" spans="1:12" x14ac:dyDescent="0.25">
      <c r="I16"/>
      <c r="J16"/>
      <c r="K16"/>
      <c r="L16"/>
    </row>
    <row r="17" spans="1:12" ht="15.75" x14ac:dyDescent="0.25">
      <c r="A17" s="14" t="s">
        <v>30</v>
      </c>
      <c r="I17"/>
      <c r="J17"/>
      <c r="K17"/>
      <c r="L17"/>
    </row>
    <row r="18" spans="1:12" x14ac:dyDescent="0.25">
      <c r="A18" s="15" t="s">
        <v>1</v>
      </c>
      <c r="B18" s="15" t="s">
        <v>27</v>
      </c>
      <c r="C18" s="15" t="s">
        <v>549</v>
      </c>
      <c r="I18"/>
      <c r="J18"/>
      <c r="K18"/>
      <c r="L18"/>
    </row>
    <row r="19" spans="1:12" x14ac:dyDescent="0.25">
      <c r="A19" s="6" t="s">
        <v>32</v>
      </c>
      <c r="B19" s="19">
        <f>+B15-B20</f>
        <v>44.977811458333335</v>
      </c>
      <c r="C19" s="245">
        <f>B19/$B$23</f>
        <v>0.42672995413443765</v>
      </c>
      <c r="D19" s="38"/>
      <c r="I19"/>
      <c r="J19"/>
      <c r="K19"/>
      <c r="L19"/>
    </row>
    <row r="20" spans="1:12" x14ac:dyDescent="0.25">
      <c r="A20" s="6" t="s">
        <v>324</v>
      </c>
      <c r="B20" s="19">
        <f>+(B15-B13)*0.6</f>
        <v>60.423299999999998</v>
      </c>
      <c r="C20" s="245">
        <f t="shared" ref="C20:C23" si="2">B20/$B$23</f>
        <v>0.57327004586556229</v>
      </c>
      <c r="D20" s="38"/>
    </row>
    <row r="21" spans="1:12" x14ac:dyDescent="0.25">
      <c r="A21" s="6" t="s">
        <v>31</v>
      </c>
      <c r="B21" s="19">
        <v>0</v>
      </c>
      <c r="C21" s="245">
        <f t="shared" si="2"/>
        <v>0</v>
      </c>
      <c r="D21" s="38"/>
    </row>
    <row r="22" spans="1:12" x14ac:dyDescent="0.25">
      <c r="A22" s="6"/>
      <c r="B22" s="6"/>
      <c r="C22" s="6"/>
    </row>
    <row r="23" spans="1:12" x14ac:dyDescent="0.25">
      <c r="A23" s="217" t="s">
        <v>29</v>
      </c>
      <c r="B23" s="246">
        <f>B15</f>
        <v>105.40111145833333</v>
      </c>
      <c r="C23" s="247">
        <f t="shared" si="2"/>
        <v>1</v>
      </c>
    </row>
  </sheetData>
  <mergeCells count="1">
    <mergeCell ref="A1:B1"/>
  </mergeCells>
  <pageMargins left="0.7" right="0.7" top="0.75" bottom="0.75" header="0.3" footer="0.3"/>
  <pageSetup scale="7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view="pageBreakPreview" topLeftCell="B1" zoomScale="60" zoomScaleNormal="90" workbookViewId="0">
      <selection activeCell="B2" sqref="B2:L21"/>
    </sheetView>
  </sheetViews>
  <sheetFormatPr defaultColWidth="9.140625" defaultRowHeight="15" x14ac:dyDescent="0.25"/>
  <cols>
    <col min="1" max="1" width="0" style="1" hidden="1" customWidth="1"/>
    <col min="2" max="2" width="32.28515625" style="1" bestFit="1" customWidth="1"/>
    <col min="3" max="10" width="9.42578125" style="1" bestFit="1" customWidth="1"/>
    <col min="11" max="11" width="8.42578125" style="1" bestFit="1" customWidth="1"/>
    <col min="12" max="12" width="8" style="1" bestFit="1" customWidth="1"/>
    <col min="13" max="14" width="9.140625" style="1"/>
    <col min="15" max="15" width="30.5703125" style="1" bestFit="1" customWidth="1"/>
    <col min="16" max="18" width="9.42578125" style="1" bestFit="1" customWidth="1"/>
    <col min="19" max="25" width="8.42578125" style="1" bestFit="1" customWidth="1"/>
    <col min="26" max="16384" width="9.140625" style="1"/>
  </cols>
  <sheetData>
    <row r="2" spans="2:25" x14ac:dyDescent="0.25">
      <c r="B2" s="347" t="s">
        <v>34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O2" s="347" t="s">
        <v>35</v>
      </c>
      <c r="P2" s="348"/>
      <c r="Q2" s="348"/>
      <c r="R2" s="348"/>
      <c r="S2" s="348"/>
      <c r="T2" s="348"/>
      <c r="U2" s="348"/>
      <c r="V2" s="348"/>
      <c r="W2" s="348"/>
      <c r="X2" s="348"/>
      <c r="Y2" s="348"/>
    </row>
    <row r="3" spans="2:25" x14ac:dyDescent="0.25">
      <c r="B3" s="17" t="s">
        <v>1</v>
      </c>
      <c r="C3" s="17" t="s">
        <v>36</v>
      </c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495</v>
      </c>
      <c r="K3" s="17" t="s">
        <v>496</v>
      </c>
      <c r="L3" s="17" t="s">
        <v>497</v>
      </c>
      <c r="O3" s="17" t="s">
        <v>1</v>
      </c>
      <c r="P3" s="17" t="s">
        <v>36</v>
      </c>
      <c r="Q3" s="17" t="s">
        <v>37</v>
      </c>
      <c r="R3" s="17" t="s">
        <v>38</v>
      </c>
      <c r="S3" s="17" t="s">
        <v>39</v>
      </c>
      <c r="T3" s="17" t="s">
        <v>40</v>
      </c>
      <c r="U3" s="17" t="s">
        <v>41</v>
      </c>
      <c r="V3" s="17" t="s">
        <v>42</v>
      </c>
      <c r="W3" s="17" t="s">
        <v>495</v>
      </c>
      <c r="X3" s="17" t="s">
        <v>496</v>
      </c>
      <c r="Y3" s="17" t="s">
        <v>497</v>
      </c>
    </row>
    <row r="4" spans="2:25" x14ac:dyDescent="0.25">
      <c r="B4" s="8" t="s">
        <v>43</v>
      </c>
      <c r="C4" s="6"/>
      <c r="D4" s="6"/>
      <c r="E4" s="6"/>
      <c r="F4" s="6"/>
      <c r="G4" s="6"/>
      <c r="H4" s="6"/>
      <c r="I4" s="6"/>
      <c r="J4" s="6"/>
      <c r="K4" s="6"/>
      <c r="L4" s="6"/>
      <c r="O4" s="8" t="s">
        <v>44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x14ac:dyDescent="0.25">
      <c r="B5" s="6" t="s">
        <v>45</v>
      </c>
      <c r="C5" s="19">
        <f>'Project Glance'!B6+'Project Glance'!B7</f>
        <v>43.32</v>
      </c>
      <c r="D5" s="19">
        <f>C7</f>
        <v>41.946756000000001</v>
      </c>
      <c r="E5" s="19">
        <f t="shared" ref="E5:I5" si="0">D7</f>
        <v>40.573512000000001</v>
      </c>
      <c r="F5" s="19">
        <f t="shared" si="0"/>
        <v>39.200268000000001</v>
      </c>
      <c r="G5" s="19">
        <f t="shared" si="0"/>
        <v>37.827024000000002</v>
      </c>
      <c r="H5" s="19">
        <f t="shared" si="0"/>
        <v>36.453780000000002</v>
      </c>
      <c r="I5" s="19">
        <f t="shared" si="0"/>
        <v>35.080536000000002</v>
      </c>
      <c r="J5" s="19">
        <f t="shared" ref="J5" si="1">I7</f>
        <v>33.707292000000002</v>
      </c>
      <c r="K5" s="19">
        <f t="shared" ref="K5" si="2">J7</f>
        <v>32.334048000000003</v>
      </c>
      <c r="L5" s="19">
        <f t="shared" ref="L5" si="3">K7</f>
        <v>30.960804000000003</v>
      </c>
      <c r="O5" s="6" t="s">
        <v>45</v>
      </c>
      <c r="P5" s="19">
        <f>C5</f>
        <v>43.32</v>
      </c>
      <c r="Q5" s="19">
        <f>P7</f>
        <v>38.988</v>
      </c>
      <c r="R5" s="19">
        <f t="shared" ref="R5:V5" si="4">Q7</f>
        <v>35.089199999999998</v>
      </c>
      <c r="S5" s="19">
        <f t="shared" si="4"/>
        <v>31.580279999999998</v>
      </c>
      <c r="T5" s="19">
        <f t="shared" si="4"/>
        <v>28.422252</v>
      </c>
      <c r="U5" s="19">
        <f t="shared" si="4"/>
        <v>25.580026799999999</v>
      </c>
      <c r="V5" s="19">
        <f t="shared" si="4"/>
        <v>23.022024119999998</v>
      </c>
      <c r="W5" s="19">
        <f t="shared" ref="W5" si="5">V7</f>
        <v>20.719821707999998</v>
      </c>
      <c r="X5" s="19">
        <f t="shared" ref="X5" si="6">W7</f>
        <v>18.647839537199999</v>
      </c>
      <c r="Y5" s="19">
        <f t="shared" ref="Y5" si="7">X7</f>
        <v>16.783055583479999</v>
      </c>
    </row>
    <row r="6" spans="2:25" x14ac:dyDescent="0.25">
      <c r="B6" s="6" t="s">
        <v>46</v>
      </c>
      <c r="C6" s="19">
        <f>C5*3.17%</f>
        <v>1.3732439999999999</v>
      </c>
      <c r="D6" s="19">
        <f>C6</f>
        <v>1.3732439999999999</v>
      </c>
      <c r="E6" s="19">
        <f t="shared" ref="E6:I6" si="8">D6</f>
        <v>1.3732439999999999</v>
      </c>
      <c r="F6" s="19">
        <f t="shared" si="8"/>
        <v>1.3732439999999999</v>
      </c>
      <c r="G6" s="19">
        <f t="shared" si="8"/>
        <v>1.3732439999999999</v>
      </c>
      <c r="H6" s="19">
        <f t="shared" si="8"/>
        <v>1.3732439999999999</v>
      </c>
      <c r="I6" s="19">
        <f t="shared" si="8"/>
        <v>1.3732439999999999</v>
      </c>
      <c r="J6" s="19">
        <f t="shared" ref="J6" si="9">I6</f>
        <v>1.3732439999999999</v>
      </c>
      <c r="K6" s="19">
        <f t="shared" ref="K6" si="10">J6</f>
        <v>1.3732439999999999</v>
      </c>
      <c r="L6" s="19">
        <f t="shared" ref="L6" si="11">K6</f>
        <v>1.3732439999999999</v>
      </c>
      <c r="O6" s="1" t="s">
        <v>47</v>
      </c>
      <c r="P6" s="19">
        <f>P5*10%</f>
        <v>4.3319999999999999</v>
      </c>
      <c r="Q6" s="19">
        <f>Q5*10%</f>
        <v>3.8988</v>
      </c>
      <c r="R6" s="19">
        <f t="shared" ref="R6:V6" si="12">R5*10%</f>
        <v>3.5089199999999998</v>
      </c>
      <c r="S6" s="19">
        <f t="shared" si="12"/>
        <v>3.1580279999999998</v>
      </c>
      <c r="T6" s="19">
        <f t="shared" si="12"/>
        <v>2.8422252000000001</v>
      </c>
      <c r="U6" s="19">
        <f t="shared" si="12"/>
        <v>2.55800268</v>
      </c>
      <c r="V6" s="19">
        <f t="shared" si="12"/>
        <v>2.3022024119999998</v>
      </c>
      <c r="W6" s="19">
        <f t="shared" ref="W6:Y6" si="13">W5*10%</f>
        <v>2.0719821707999997</v>
      </c>
      <c r="X6" s="19">
        <f t="shared" si="13"/>
        <v>1.8647839537199999</v>
      </c>
      <c r="Y6" s="19">
        <f t="shared" si="13"/>
        <v>1.678305558348</v>
      </c>
    </row>
    <row r="7" spans="2:25" x14ac:dyDescent="0.25">
      <c r="B7" s="6" t="s">
        <v>48</v>
      </c>
      <c r="C7" s="19">
        <f>C5-C6</f>
        <v>41.946756000000001</v>
      </c>
      <c r="D7" s="19">
        <f t="shared" ref="D7:I7" si="14">D5-D6</f>
        <v>40.573512000000001</v>
      </c>
      <c r="E7" s="19">
        <f t="shared" si="14"/>
        <v>39.200268000000001</v>
      </c>
      <c r="F7" s="19">
        <f t="shared" si="14"/>
        <v>37.827024000000002</v>
      </c>
      <c r="G7" s="19">
        <f t="shared" si="14"/>
        <v>36.453780000000002</v>
      </c>
      <c r="H7" s="19">
        <f t="shared" si="14"/>
        <v>35.080536000000002</v>
      </c>
      <c r="I7" s="19">
        <f t="shared" si="14"/>
        <v>33.707292000000002</v>
      </c>
      <c r="J7" s="19">
        <f t="shared" ref="J7:L7" si="15">J5-J6</f>
        <v>32.334048000000003</v>
      </c>
      <c r="K7" s="19">
        <f t="shared" si="15"/>
        <v>30.960804000000003</v>
      </c>
      <c r="L7" s="19">
        <f t="shared" si="15"/>
        <v>29.587560000000003</v>
      </c>
      <c r="O7" s="6" t="s">
        <v>48</v>
      </c>
      <c r="P7" s="19">
        <f t="shared" ref="P7:V7" si="16">P5-P6</f>
        <v>38.988</v>
      </c>
      <c r="Q7" s="19">
        <f t="shared" si="16"/>
        <v>35.089199999999998</v>
      </c>
      <c r="R7" s="19">
        <f t="shared" si="16"/>
        <v>31.580279999999998</v>
      </c>
      <c r="S7" s="19">
        <f t="shared" si="16"/>
        <v>28.422252</v>
      </c>
      <c r="T7" s="19">
        <f t="shared" si="16"/>
        <v>25.580026799999999</v>
      </c>
      <c r="U7" s="19">
        <f t="shared" si="16"/>
        <v>23.022024119999998</v>
      </c>
      <c r="V7" s="19">
        <f t="shared" si="16"/>
        <v>20.719821707999998</v>
      </c>
      <c r="W7" s="19">
        <f t="shared" ref="W7:Y7" si="17">W5-W6</f>
        <v>18.647839537199999</v>
      </c>
      <c r="X7" s="19">
        <f t="shared" si="17"/>
        <v>16.783055583479999</v>
      </c>
      <c r="Y7" s="19">
        <f t="shared" si="17"/>
        <v>15.104750025131999</v>
      </c>
    </row>
    <row r="8" spans="2:2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O8" s="6"/>
      <c r="P8" s="6"/>
      <c r="Q8" s="19"/>
      <c r="R8" s="19"/>
      <c r="S8" s="19"/>
      <c r="T8" s="19"/>
      <c r="U8" s="6"/>
      <c r="V8" s="6"/>
      <c r="W8" s="6"/>
      <c r="X8" s="6"/>
      <c r="Y8" s="6"/>
    </row>
    <row r="9" spans="2:25" x14ac:dyDescent="0.25">
      <c r="B9" s="20" t="s">
        <v>49</v>
      </c>
      <c r="C9" s="6"/>
      <c r="D9" s="6"/>
      <c r="E9" s="6"/>
      <c r="F9" s="6"/>
      <c r="G9" s="6"/>
      <c r="H9" s="6"/>
      <c r="I9" s="6"/>
      <c r="J9" s="6"/>
      <c r="K9" s="6"/>
      <c r="L9" s="6"/>
      <c r="O9" s="20" t="s">
        <v>49</v>
      </c>
      <c r="P9" s="6"/>
      <c r="Q9" s="19"/>
      <c r="R9" s="19"/>
      <c r="S9" s="19"/>
      <c r="T9" s="19"/>
      <c r="U9" s="6"/>
      <c r="V9" s="6"/>
      <c r="W9" s="6"/>
      <c r="X9" s="6"/>
      <c r="Y9" s="6"/>
    </row>
    <row r="10" spans="2:25" x14ac:dyDescent="0.25">
      <c r="B10" s="21" t="s">
        <v>50</v>
      </c>
      <c r="C10" s="19">
        <f>'Project Glance'!B8+'Project Glance'!B9+'Project Glance'!B11</f>
        <v>52.589999999999989</v>
      </c>
      <c r="D10" s="19">
        <f>C12</f>
        <v>49.26105299999999</v>
      </c>
      <c r="E10" s="19">
        <f t="shared" ref="E10:I10" si="18">D12</f>
        <v>45.93210599999999</v>
      </c>
      <c r="F10" s="19">
        <f t="shared" si="18"/>
        <v>42.603158999999991</v>
      </c>
      <c r="G10" s="19">
        <f t="shared" si="18"/>
        <v>39.274211999999991</v>
      </c>
      <c r="H10" s="19">
        <f t="shared" si="18"/>
        <v>35.945264999999992</v>
      </c>
      <c r="I10" s="19">
        <f t="shared" si="18"/>
        <v>32.616317999999993</v>
      </c>
      <c r="J10" s="19">
        <f t="shared" ref="J10" si="19">I12</f>
        <v>29.287370999999993</v>
      </c>
      <c r="K10" s="19">
        <f t="shared" ref="K10" si="20">J12</f>
        <v>25.958423999999994</v>
      </c>
      <c r="L10" s="19">
        <f t="shared" ref="L10" si="21">K12</f>
        <v>22.629476999999994</v>
      </c>
      <c r="O10" s="21" t="s">
        <v>50</v>
      </c>
      <c r="P10" s="19">
        <f>C10</f>
        <v>52.589999999999989</v>
      </c>
      <c r="Q10" s="19">
        <f>P12</f>
        <v>44.701499999999989</v>
      </c>
      <c r="R10" s="19">
        <f t="shared" ref="R10:V10" si="22">Q12</f>
        <v>37.99627499999999</v>
      </c>
      <c r="S10" s="19">
        <f t="shared" si="22"/>
        <v>32.29683374999999</v>
      </c>
      <c r="T10" s="19">
        <f t="shared" si="22"/>
        <v>27.452308687499993</v>
      </c>
      <c r="U10" s="19">
        <f t="shared" si="22"/>
        <v>23.334462384374994</v>
      </c>
      <c r="V10" s="19">
        <f t="shared" si="22"/>
        <v>19.834293026718747</v>
      </c>
      <c r="W10" s="19">
        <f t="shared" ref="W10" si="23">V12</f>
        <v>16.859149072710935</v>
      </c>
      <c r="X10" s="19">
        <f t="shared" ref="X10" si="24">W12</f>
        <v>14.330276711804295</v>
      </c>
      <c r="Y10" s="19">
        <f t="shared" ref="Y10" si="25">X12</f>
        <v>12.180735205033651</v>
      </c>
    </row>
    <row r="11" spans="2:25" x14ac:dyDescent="0.25">
      <c r="B11" s="21" t="s">
        <v>51</v>
      </c>
      <c r="C11" s="19">
        <f>C10*6.33%</f>
        <v>3.328946999999999</v>
      </c>
      <c r="D11" s="19">
        <f>C11</f>
        <v>3.328946999999999</v>
      </c>
      <c r="E11" s="19">
        <f t="shared" ref="E11:I11" si="26">D11</f>
        <v>3.328946999999999</v>
      </c>
      <c r="F11" s="19">
        <f t="shared" si="26"/>
        <v>3.328946999999999</v>
      </c>
      <c r="G11" s="19">
        <f t="shared" si="26"/>
        <v>3.328946999999999</v>
      </c>
      <c r="H11" s="19">
        <f t="shared" si="26"/>
        <v>3.328946999999999</v>
      </c>
      <c r="I11" s="19">
        <f t="shared" si="26"/>
        <v>3.328946999999999</v>
      </c>
      <c r="J11" s="19">
        <f t="shared" ref="J11" si="27">I11</f>
        <v>3.328946999999999</v>
      </c>
      <c r="K11" s="19">
        <f t="shared" ref="K11" si="28">J11</f>
        <v>3.328946999999999</v>
      </c>
      <c r="L11" s="19">
        <f t="shared" ref="L11" si="29">K11</f>
        <v>3.328946999999999</v>
      </c>
      <c r="O11" s="21" t="s">
        <v>52</v>
      </c>
      <c r="P11" s="19">
        <f>P10*15%</f>
        <v>7.8884999999999978</v>
      </c>
      <c r="Q11" s="19">
        <f t="shared" ref="Q11:V11" si="30">Q10*15%</f>
        <v>6.7052249999999978</v>
      </c>
      <c r="R11" s="19">
        <f t="shared" si="30"/>
        <v>5.6994412499999987</v>
      </c>
      <c r="S11" s="19">
        <f t="shared" si="30"/>
        <v>4.844525062499998</v>
      </c>
      <c r="T11" s="19">
        <f t="shared" si="30"/>
        <v>4.117846303124999</v>
      </c>
      <c r="U11" s="19">
        <f t="shared" si="30"/>
        <v>3.5001693576562491</v>
      </c>
      <c r="V11" s="19">
        <f t="shared" si="30"/>
        <v>2.975143954007812</v>
      </c>
      <c r="W11" s="19">
        <f t="shared" ref="W11:Y11" si="31">W10*15%</f>
        <v>2.5288723609066399</v>
      </c>
      <c r="X11" s="19">
        <f t="shared" si="31"/>
        <v>2.1495415067706443</v>
      </c>
      <c r="Y11" s="19">
        <f t="shared" si="31"/>
        <v>1.8271102807550474</v>
      </c>
    </row>
    <row r="12" spans="2:25" x14ac:dyDescent="0.25">
      <c r="B12" s="6" t="s">
        <v>48</v>
      </c>
      <c r="C12" s="19">
        <f>C10-C11</f>
        <v>49.26105299999999</v>
      </c>
      <c r="D12" s="19">
        <f t="shared" ref="D12:I12" si="32">D10-D11</f>
        <v>45.93210599999999</v>
      </c>
      <c r="E12" s="19">
        <f t="shared" si="32"/>
        <v>42.603158999999991</v>
      </c>
      <c r="F12" s="19">
        <f t="shared" si="32"/>
        <v>39.274211999999991</v>
      </c>
      <c r="G12" s="19">
        <f t="shared" si="32"/>
        <v>35.945264999999992</v>
      </c>
      <c r="H12" s="19">
        <f t="shared" si="32"/>
        <v>32.616317999999993</v>
      </c>
      <c r="I12" s="19">
        <f t="shared" si="32"/>
        <v>29.287370999999993</v>
      </c>
      <c r="J12" s="19">
        <f t="shared" ref="J12:L12" si="33">J10-J11</f>
        <v>25.958423999999994</v>
      </c>
      <c r="K12" s="19">
        <f t="shared" si="33"/>
        <v>22.629476999999994</v>
      </c>
      <c r="L12" s="19">
        <f t="shared" si="33"/>
        <v>19.300529999999995</v>
      </c>
      <c r="O12" s="6" t="s">
        <v>48</v>
      </c>
      <c r="P12" s="19">
        <f t="shared" ref="P12:V12" si="34">P10-P11</f>
        <v>44.701499999999989</v>
      </c>
      <c r="Q12" s="19">
        <f t="shared" si="34"/>
        <v>37.99627499999999</v>
      </c>
      <c r="R12" s="19">
        <f t="shared" si="34"/>
        <v>32.29683374999999</v>
      </c>
      <c r="S12" s="19">
        <f t="shared" si="34"/>
        <v>27.452308687499993</v>
      </c>
      <c r="T12" s="19">
        <f t="shared" si="34"/>
        <v>23.334462384374994</v>
      </c>
      <c r="U12" s="19">
        <f t="shared" si="34"/>
        <v>19.834293026718747</v>
      </c>
      <c r="V12" s="19">
        <f t="shared" si="34"/>
        <v>16.859149072710935</v>
      </c>
      <c r="W12" s="19">
        <f t="shared" ref="W12:Y12" si="35">W10-W11</f>
        <v>14.330276711804295</v>
      </c>
      <c r="X12" s="19">
        <f t="shared" si="35"/>
        <v>12.180735205033651</v>
      </c>
      <c r="Y12" s="19">
        <f t="shared" si="35"/>
        <v>10.353624924278604</v>
      </c>
    </row>
    <row r="13" spans="2:25" x14ac:dyDescent="0.25">
      <c r="B13" s="6"/>
      <c r="C13" s="19"/>
      <c r="D13" s="19"/>
      <c r="E13" s="19"/>
      <c r="F13" s="19"/>
      <c r="G13" s="19"/>
      <c r="H13" s="19"/>
      <c r="I13" s="6"/>
      <c r="J13" s="6"/>
      <c r="K13" s="6"/>
      <c r="L13" s="6"/>
      <c r="O13" s="6"/>
      <c r="P13" s="19"/>
      <c r="Q13" s="19"/>
      <c r="R13" s="19"/>
      <c r="S13" s="19"/>
      <c r="T13" s="19"/>
      <c r="U13" s="6"/>
      <c r="V13" s="6"/>
      <c r="W13" s="6"/>
      <c r="X13" s="6"/>
      <c r="Y13" s="6"/>
    </row>
    <row r="14" spans="2:25" hidden="1" x14ac:dyDescent="0.25">
      <c r="B14" s="20" t="s">
        <v>53</v>
      </c>
      <c r="C14" s="19"/>
      <c r="D14" s="19"/>
      <c r="E14" s="19"/>
      <c r="F14" s="19"/>
      <c r="G14" s="19"/>
      <c r="H14" s="19"/>
      <c r="I14" s="6"/>
      <c r="J14" s="6"/>
      <c r="K14" s="6"/>
      <c r="L14" s="6"/>
      <c r="O14" s="20" t="s">
        <v>53</v>
      </c>
      <c r="P14" s="19"/>
      <c r="Q14" s="19"/>
      <c r="R14" s="19"/>
      <c r="S14" s="19"/>
      <c r="T14" s="19"/>
      <c r="U14" s="6"/>
      <c r="V14" s="6"/>
      <c r="W14" s="6"/>
      <c r="X14" s="6"/>
      <c r="Y14" s="6"/>
    </row>
    <row r="15" spans="2:25" hidden="1" x14ac:dyDescent="0.25">
      <c r="B15" s="21" t="s">
        <v>50</v>
      </c>
      <c r="C15" s="9">
        <v>0</v>
      </c>
      <c r="D15" s="9">
        <f>C17</f>
        <v>0</v>
      </c>
      <c r="E15" s="9">
        <f t="shared" ref="E15:I15" si="36">D17</f>
        <v>0</v>
      </c>
      <c r="F15" s="9">
        <f t="shared" si="36"/>
        <v>0</v>
      </c>
      <c r="G15" s="9">
        <f t="shared" si="36"/>
        <v>0</v>
      </c>
      <c r="H15" s="9">
        <f t="shared" si="36"/>
        <v>0</v>
      </c>
      <c r="I15" s="9">
        <f t="shared" si="36"/>
        <v>0</v>
      </c>
      <c r="J15" s="9">
        <f t="shared" ref="J15" si="37">I17</f>
        <v>0</v>
      </c>
      <c r="K15" s="9">
        <f t="shared" ref="K15" si="38">J17</f>
        <v>0</v>
      </c>
      <c r="L15" s="9">
        <f t="shared" ref="L15" si="39">K17</f>
        <v>0</v>
      </c>
      <c r="O15" s="21" t="s">
        <v>50</v>
      </c>
      <c r="P15" s="9">
        <f>C15</f>
        <v>0</v>
      </c>
      <c r="Q15" s="9">
        <f>P17</f>
        <v>0</v>
      </c>
      <c r="R15" s="9">
        <f t="shared" ref="R15:V15" si="40">Q17</f>
        <v>0</v>
      </c>
      <c r="S15" s="9">
        <f t="shared" si="40"/>
        <v>0</v>
      </c>
      <c r="T15" s="9">
        <f t="shared" si="40"/>
        <v>0</v>
      </c>
      <c r="U15" s="9">
        <f t="shared" si="40"/>
        <v>0</v>
      </c>
      <c r="V15" s="9">
        <f t="shared" si="40"/>
        <v>0</v>
      </c>
      <c r="W15" s="9">
        <f t="shared" ref="W15" si="41">V17</f>
        <v>0</v>
      </c>
      <c r="X15" s="9">
        <f t="shared" ref="X15" si="42">W17</f>
        <v>0</v>
      </c>
      <c r="Y15" s="9">
        <f t="shared" ref="Y15" si="43">X17</f>
        <v>0</v>
      </c>
    </row>
    <row r="16" spans="2:25" hidden="1" x14ac:dyDescent="0.25">
      <c r="B16" s="21" t="s">
        <v>54</v>
      </c>
      <c r="C16" s="9">
        <f>C15*7.88%</f>
        <v>0</v>
      </c>
      <c r="D16" s="9">
        <f>C16</f>
        <v>0</v>
      </c>
      <c r="E16" s="9">
        <f t="shared" ref="E16:I16" si="44">D16</f>
        <v>0</v>
      </c>
      <c r="F16" s="9">
        <f t="shared" si="44"/>
        <v>0</v>
      </c>
      <c r="G16" s="9">
        <f t="shared" si="44"/>
        <v>0</v>
      </c>
      <c r="H16" s="9">
        <f t="shared" si="44"/>
        <v>0</v>
      </c>
      <c r="I16" s="9">
        <f t="shared" si="44"/>
        <v>0</v>
      </c>
      <c r="J16" s="9">
        <f t="shared" ref="J16" si="45">I16</f>
        <v>0</v>
      </c>
      <c r="K16" s="9">
        <f t="shared" ref="K16" si="46">J16</f>
        <v>0</v>
      </c>
      <c r="L16" s="9">
        <f t="shared" ref="L16" si="47">K16</f>
        <v>0</v>
      </c>
      <c r="O16" s="21" t="s">
        <v>55</v>
      </c>
      <c r="P16" s="9">
        <f>P15*30%</f>
        <v>0</v>
      </c>
      <c r="Q16" s="9">
        <f>Q15*30%</f>
        <v>0</v>
      </c>
      <c r="R16" s="9">
        <f>R15*30%</f>
        <v>0</v>
      </c>
      <c r="S16" s="9">
        <f>S15*30%</f>
        <v>0</v>
      </c>
      <c r="T16" s="9">
        <f>T15*30%</f>
        <v>0</v>
      </c>
      <c r="U16" s="9">
        <f t="shared" ref="U16:V16" si="48">U15*30%</f>
        <v>0</v>
      </c>
      <c r="V16" s="9">
        <f t="shared" si="48"/>
        <v>0</v>
      </c>
      <c r="W16" s="9">
        <f t="shared" ref="W16:Y16" si="49">W15*30%</f>
        <v>0</v>
      </c>
      <c r="X16" s="9">
        <f t="shared" si="49"/>
        <v>0</v>
      </c>
      <c r="Y16" s="9">
        <f t="shared" si="49"/>
        <v>0</v>
      </c>
    </row>
    <row r="17" spans="2:25" hidden="1" x14ac:dyDescent="0.25">
      <c r="B17" s="6" t="s">
        <v>48</v>
      </c>
      <c r="C17" s="9">
        <f t="shared" ref="C17:I17" si="50">C15-C16</f>
        <v>0</v>
      </c>
      <c r="D17" s="9">
        <f t="shared" si="50"/>
        <v>0</v>
      </c>
      <c r="E17" s="9">
        <f t="shared" si="50"/>
        <v>0</v>
      </c>
      <c r="F17" s="9">
        <f t="shared" si="50"/>
        <v>0</v>
      </c>
      <c r="G17" s="9">
        <f t="shared" si="50"/>
        <v>0</v>
      </c>
      <c r="H17" s="9">
        <f t="shared" si="50"/>
        <v>0</v>
      </c>
      <c r="I17" s="9">
        <f t="shared" si="50"/>
        <v>0</v>
      </c>
      <c r="J17" s="9">
        <f t="shared" ref="J17:L17" si="51">J15-J16</f>
        <v>0</v>
      </c>
      <c r="K17" s="9">
        <f t="shared" si="51"/>
        <v>0</v>
      </c>
      <c r="L17" s="9">
        <f t="shared" si="51"/>
        <v>0</v>
      </c>
      <c r="O17" s="6" t="s">
        <v>48</v>
      </c>
      <c r="P17" s="9">
        <f t="shared" ref="P17:V17" si="52">P15-P16</f>
        <v>0</v>
      </c>
      <c r="Q17" s="9">
        <f t="shared" si="52"/>
        <v>0</v>
      </c>
      <c r="R17" s="9">
        <f t="shared" si="52"/>
        <v>0</v>
      </c>
      <c r="S17" s="9">
        <f t="shared" si="52"/>
        <v>0</v>
      </c>
      <c r="T17" s="9">
        <f t="shared" si="52"/>
        <v>0</v>
      </c>
      <c r="U17" s="9">
        <f t="shared" si="52"/>
        <v>0</v>
      </c>
      <c r="V17" s="9">
        <f t="shared" si="52"/>
        <v>0</v>
      </c>
      <c r="W17" s="9">
        <f t="shared" ref="W17:Y17" si="53">W15-W16</f>
        <v>0</v>
      </c>
      <c r="X17" s="9">
        <f t="shared" si="53"/>
        <v>0</v>
      </c>
      <c r="Y17" s="9">
        <f t="shared" si="53"/>
        <v>0</v>
      </c>
    </row>
    <row r="18" spans="2:2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x14ac:dyDescent="0.25">
      <c r="B19" s="20" t="s">
        <v>56</v>
      </c>
      <c r="C19" s="22">
        <f>C5+C10+C15</f>
        <v>95.91</v>
      </c>
      <c r="D19" s="22">
        <f t="shared" ref="D19:I21" si="54">D5+D10+D15</f>
        <v>91.207808999999997</v>
      </c>
      <c r="E19" s="22">
        <f t="shared" si="54"/>
        <v>86.505617999999998</v>
      </c>
      <c r="F19" s="22">
        <f t="shared" si="54"/>
        <v>81.803426999999999</v>
      </c>
      <c r="G19" s="22">
        <f t="shared" si="54"/>
        <v>77.101236</v>
      </c>
      <c r="H19" s="22">
        <f t="shared" si="54"/>
        <v>72.399045000000001</v>
      </c>
      <c r="I19" s="22">
        <f t="shared" si="54"/>
        <v>67.696854000000002</v>
      </c>
      <c r="J19" s="22">
        <f t="shared" ref="J19:L19" si="55">J5+J10+J15</f>
        <v>62.994662999999996</v>
      </c>
      <c r="K19" s="22">
        <f t="shared" si="55"/>
        <v>58.292471999999997</v>
      </c>
      <c r="L19" s="22">
        <f t="shared" si="55"/>
        <v>53.590280999999997</v>
      </c>
      <c r="O19" s="20" t="s">
        <v>56</v>
      </c>
      <c r="P19" s="22">
        <f>P5+P10+P15</f>
        <v>95.91</v>
      </c>
      <c r="Q19" s="22">
        <f t="shared" ref="Q19:V21" si="56">Q5+Q10+Q15</f>
        <v>83.689499999999981</v>
      </c>
      <c r="R19" s="22">
        <f t="shared" si="56"/>
        <v>73.085474999999988</v>
      </c>
      <c r="S19" s="22">
        <f t="shared" si="56"/>
        <v>63.877113749999992</v>
      </c>
      <c r="T19" s="22">
        <f t="shared" si="56"/>
        <v>55.874560687499994</v>
      </c>
      <c r="U19" s="22">
        <f t="shared" si="56"/>
        <v>48.914489184374993</v>
      </c>
      <c r="V19" s="22">
        <f t="shared" si="56"/>
        <v>42.856317146718744</v>
      </c>
      <c r="W19" s="22">
        <f t="shared" ref="W19:Y19" si="57">W5+W10+W15</f>
        <v>37.578970780710932</v>
      </c>
      <c r="X19" s="22">
        <f t="shared" si="57"/>
        <v>32.978116249004295</v>
      </c>
      <c r="Y19" s="22">
        <f t="shared" si="57"/>
        <v>28.963790788513649</v>
      </c>
    </row>
    <row r="20" spans="2:25" x14ac:dyDescent="0.25">
      <c r="B20" s="20" t="s">
        <v>57</v>
      </c>
      <c r="C20" s="22">
        <f t="shared" ref="C20:G21" si="58">C6+C11+C16</f>
        <v>4.7021909999999991</v>
      </c>
      <c r="D20" s="22">
        <f t="shared" si="58"/>
        <v>4.7021909999999991</v>
      </c>
      <c r="E20" s="22">
        <f t="shared" si="58"/>
        <v>4.7021909999999991</v>
      </c>
      <c r="F20" s="22">
        <f t="shared" si="58"/>
        <v>4.7021909999999991</v>
      </c>
      <c r="G20" s="22">
        <f t="shared" si="58"/>
        <v>4.7021909999999991</v>
      </c>
      <c r="H20" s="22">
        <f t="shared" si="54"/>
        <v>4.7021909999999991</v>
      </c>
      <c r="I20" s="22">
        <f t="shared" si="54"/>
        <v>4.7021909999999991</v>
      </c>
      <c r="J20" s="22">
        <f t="shared" ref="J20:L20" si="59">J6+J11+J16</f>
        <v>4.7021909999999991</v>
      </c>
      <c r="K20" s="22">
        <f t="shared" si="59"/>
        <v>4.7021909999999991</v>
      </c>
      <c r="L20" s="22">
        <f t="shared" si="59"/>
        <v>4.7021909999999991</v>
      </c>
      <c r="O20" s="20" t="s">
        <v>57</v>
      </c>
      <c r="P20" s="22">
        <f t="shared" ref="P20:T21" si="60">P6+P11+P16</f>
        <v>12.220499999999998</v>
      </c>
      <c r="Q20" s="22">
        <f t="shared" si="60"/>
        <v>10.604024999999998</v>
      </c>
      <c r="R20" s="22">
        <f t="shared" si="60"/>
        <v>9.2083612499999994</v>
      </c>
      <c r="S20" s="22">
        <f t="shared" si="60"/>
        <v>8.0025530624999988</v>
      </c>
      <c r="T20" s="22">
        <f t="shared" si="60"/>
        <v>6.9600715031249987</v>
      </c>
      <c r="U20" s="22">
        <f t="shared" si="56"/>
        <v>6.0581720376562487</v>
      </c>
      <c r="V20" s="22">
        <f t="shared" si="56"/>
        <v>5.2773463660078122</v>
      </c>
      <c r="W20" s="22">
        <f t="shared" ref="W20:Y20" si="61">W6+W11+W16</f>
        <v>4.6008545317066396</v>
      </c>
      <c r="X20" s="22">
        <f t="shared" si="61"/>
        <v>4.0143254604906442</v>
      </c>
      <c r="Y20" s="22">
        <f t="shared" si="61"/>
        <v>3.5054158391030477</v>
      </c>
    </row>
    <row r="21" spans="2:25" x14ac:dyDescent="0.25">
      <c r="B21" s="8" t="s">
        <v>48</v>
      </c>
      <c r="C21" s="22">
        <f t="shared" si="58"/>
        <v>91.207808999999997</v>
      </c>
      <c r="D21" s="22">
        <f t="shared" si="58"/>
        <v>86.505617999999998</v>
      </c>
      <c r="E21" s="22">
        <f t="shared" si="58"/>
        <v>81.803426999999999</v>
      </c>
      <c r="F21" s="22">
        <f t="shared" si="58"/>
        <v>77.101236</v>
      </c>
      <c r="G21" s="22">
        <f t="shared" si="58"/>
        <v>72.399045000000001</v>
      </c>
      <c r="H21" s="22">
        <f t="shared" si="54"/>
        <v>67.696854000000002</v>
      </c>
      <c r="I21" s="22">
        <f t="shared" si="54"/>
        <v>62.994662999999996</v>
      </c>
      <c r="J21" s="22">
        <f t="shared" ref="J21:L21" si="62">J7+J12+J17</f>
        <v>58.292471999999997</v>
      </c>
      <c r="K21" s="22">
        <f t="shared" si="62"/>
        <v>53.590280999999997</v>
      </c>
      <c r="L21" s="22">
        <f t="shared" si="62"/>
        <v>48.888089999999998</v>
      </c>
      <c r="O21" s="8" t="s">
        <v>48</v>
      </c>
      <c r="P21" s="22">
        <f t="shared" si="60"/>
        <v>83.689499999999981</v>
      </c>
      <c r="Q21" s="22">
        <f t="shared" si="60"/>
        <v>73.085474999999988</v>
      </c>
      <c r="R21" s="22">
        <f t="shared" si="60"/>
        <v>63.877113749999992</v>
      </c>
      <c r="S21" s="22">
        <f t="shared" si="60"/>
        <v>55.874560687499994</v>
      </c>
      <c r="T21" s="22">
        <f t="shared" si="60"/>
        <v>48.914489184374993</v>
      </c>
      <c r="U21" s="22">
        <f t="shared" si="56"/>
        <v>42.856317146718744</v>
      </c>
      <c r="V21" s="22">
        <f t="shared" si="56"/>
        <v>37.578970780710932</v>
      </c>
      <c r="W21" s="22">
        <f t="shared" ref="W21:Y21" si="63">W7+W12+W17</f>
        <v>32.978116249004295</v>
      </c>
      <c r="X21" s="22">
        <f t="shared" si="63"/>
        <v>28.963790788513649</v>
      </c>
      <c r="Y21" s="22">
        <f t="shared" si="63"/>
        <v>25.458374949410604</v>
      </c>
    </row>
    <row r="22" spans="2:25" x14ac:dyDescent="0.25">
      <c r="B22" s="23"/>
      <c r="C22" s="23"/>
      <c r="D22" s="23"/>
      <c r="E22" s="23"/>
      <c r="F22" s="23"/>
      <c r="G22" s="23"/>
      <c r="H22" s="23"/>
    </row>
    <row r="23" spans="2:25" x14ac:dyDescent="0.25">
      <c r="C23" s="25"/>
    </row>
    <row r="24" spans="2:25" x14ac:dyDescent="0.25">
      <c r="B24" s="1" t="s">
        <v>58</v>
      </c>
      <c r="C24" s="25"/>
    </row>
  </sheetData>
  <mergeCells count="2">
    <mergeCell ref="B2:L2"/>
    <mergeCell ref="O2:Y2"/>
  </mergeCells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topLeftCell="A26" zoomScale="80" zoomScaleNormal="100" zoomScaleSheetLayoutView="80" workbookViewId="0">
      <selection activeCell="B45" sqref="B45:K45"/>
    </sheetView>
  </sheetViews>
  <sheetFormatPr defaultColWidth="9.140625" defaultRowHeight="15" x14ac:dyDescent="0.25"/>
  <cols>
    <col min="1" max="1" width="42.140625" style="1" bestFit="1" customWidth="1"/>
    <col min="2" max="7" width="10.140625" style="1" bestFit="1" customWidth="1"/>
    <col min="8" max="8" width="10" style="1" bestFit="1" customWidth="1"/>
    <col min="9" max="11" width="10" style="1" customWidth="1"/>
    <col min="12" max="12" width="9.140625" style="1"/>
    <col min="13" max="13" width="11" style="1" bestFit="1" customWidth="1"/>
    <col min="14" max="14" width="10" style="1" bestFit="1" customWidth="1"/>
    <col min="15" max="15" width="9.140625" style="1"/>
    <col min="16" max="16" width="21.28515625" style="1" customWidth="1"/>
    <col min="17" max="17" width="21.140625" style="1" customWidth="1"/>
    <col min="18" max="16384" width="9.140625" style="1"/>
  </cols>
  <sheetData>
    <row r="1" spans="1:15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39" t="s">
        <v>42</v>
      </c>
      <c r="I1" s="221" t="s">
        <v>495</v>
      </c>
      <c r="J1" s="221" t="s">
        <v>496</v>
      </c>
      <c r="K1" s="221" t="s">
        <v>497</v>
      </c>
    </row>
    <row r="2" spans="1:15" x14ac:dyDescent="0.25">
      <c r="A2" s="28"/>
      <c r="B2" s="29"/>
      <c r="C2" s="29"/>
      <c r="D2" s="29"/>
      <c r="E2" s="29"/>
      <c r="F2" s="29"/>
      <c r="G2" s="29"/>
      <c r="H2" s="29"/>
      <c r="I2" s="219"/>
      <c r="J2" s="219"/>
      <c r="K2" s="219"/>
    </row>
    <row r="3" spans="1:15" x14ac:dyDescent="0.25">
      <c r="A3" s="30" t="s">
        <v>717</v>
      </c>
      <c r="B3" s="27"/>
      <c r="C3" s="27"/>
      <c r="D3" s="27"/>
      <c r="E3" s="27"/>
      <c r="F3" s="27"/>
      <c r="G3" s="27"/>
      <c r="H3" s="27"/>
      <c r="I3" s="219"/>
      <c r="J3" s="219"/>
      <c r="K3" s="219"/>
    </row>
    <row r="4" spans="1:15" x14ac:dyDescent="0.25">
      <c r="A4" s="26" t="s">
        <v>59</v>
      </c>
      <c r="B4" s="349" t="s">
        <v>732</v>
      </c>
      <c r="C4" s="350"/>
      <c r="D4" s="350"/>
      <c r="E4" s="350"/>
      <c r="F4" s="350"/>
      <c r="G4" s="350"/>
      <c r="H4" s="350"/>
      <c r="I4" s="350"/>
      <c r="J4" s="350"/>
      <c r="K4" s="351"/>
      <c r="M4" s="1" t="s">
        <v>640</v>
      </c>
      <c r="N4" s="1" t="s">
        <v>641</v>
      </c>
    </row>
    <row r="5" spans="1:15" x14ac:dyDescent="0.25">
      <c r="A5" s="26" t="s">
        <v>60</v>
      </c>
      <c r="B5" s="31">
        <f>0.5*10*300</f>
        <v>1500</v>
      </c>
      <c r="C5" s="31">
        <f>+B5</f>
        <v>1500</v>
      </c>
      <c r="D5" s="31">
        <f t="shared" ref="D5:K5" si="0">+C5</f>
        <v>1500</v>
      </c>
      <c r="E5" s="31">
        <f t="shared" si="0"/>
        <v>1500</v>
      </c>
      <c r="F5" s="31">
        <f t="shared" si="0"/>
        <v>1500</v>
      </c>
      <c r="G5" s="31">
        <f t="shared" si="0"/>
        <v>1500</v>
      </c>
      <c r="H5" s="31">
        <f t="shared" si="0"/>
        <v>1500</v>
      </c>
      <c r="I5" s="31">
        <f t="shared" si="0"/>
        <v>1500</v>
      </c>
      <c r="J5" s="31">
        <f t="shared" si="0"/>
        <v>1500</v>
      </c>
      <c r="K5" s="31">
        <f t="shared" si="0"/>
        <v>1500</v>
      </c>
    </row>
    <row r="6" spans="1:15" x14ac:dyDescent="0.25">
      <c r="A6" s="26" t="s">
        <v>738</v>
      </c>
      <c r="B6" s="31">
        <f>B5*0.5</f>
        <v>750</v>
      </c>
      <c r="C6" s="31">
        <f>+B6</f>
        <v>750</v>
      </c>
      <c r="D6" s="31">
        <f t="shared" ref="D6:K6" si="1">+C6</f>
        <v>750</v>
      </c>
      <c r="E6" s="31">
        <f t="shared" si="1"/>
        <v>750</v>
      </c>
      <c r="F6" s="31">
        <f t="shared" si="1"/>
        <v>750</v>
      </c>
      <c r="G6" s="31">
        <f t="shared" si="1"/>
        <v>750</v>
      </c>
      <c r="H6" s="31">
        <f t="shared" si="1"/>
        <v>750</v>
      </c>
      <c r="I6" s="31">
        <f t="shared" si="1"/>
        <v>750</v>
      </c>
      <c r="J6" s="31">
        <f t="shared" si="1"/>
        <v>750</v>
      </c>
      <c r="K6" s="31">
        <f t="shared" si="1"/>
        <v>750</v>
      </c>
    </row>
    <row r="7" spans="1:15" x14ac:dyDescent="0.25">
      <c r="A7" s="26" t="s">
        <v>739</v>
      </c>
      <c r="B7" s="31">
        <f>+B5-B6</f>
        <v>750</v>
      </c>
      <c r="C7" s="31">
        <f>+B7</f>
        <v>750</v>
      </c>
      <c r="D7" s="31">
        <f t="shared" ref="D7:K7" si="2">+C7</f>
        <v>750</v>
      </c>
      <c r="E7" s="31">
        <f t="shared" si="2"/>
        <v>750</v>
      </c>
      <c r="F7" s="31">
        <f t="shared" si="2"/>
        <v>750</v>
      </c>
      <c r="G7" s="31">
        <f t="shared" si="2"/>
        <v>750</v>
      </c>
      <c r="H7" s="31">
        <f t="shared" si="2"/>
        <v>750</v>
      </c>
      <c r="I7" s="31">
        <f t="shared" si="2"/>
        <v>750</v>
      </c>
      <c r="J7" s="31">
        <f t="shared" si="2"/>
        <v>750</v>
      </c>
      <c r="K7" s="31">
        <f t="shared" si="2"/>
        <v>750</v>
      </c>
    </row>
    <row r="8" spans="1:15" x14ac:dyDescent="0.25">
      <c r="A8" s="26" t="s">
        <v>158</v>
      </c>
      <c r="B8" s="32">
        <v>0.5</v>
      </c>
      <c r="C8" s="284">
        <f>B8+5%</f>
        <v>0.55000000000000004</v>
      </c>
      <c r="D8" s="284">
        <f t="shared" ref="D8" si="3">C8+5%</f>
        <v>0.60000000000000009</v>
      </c>
      <c r="E8" s="284">
        <f t="shared" ref="E8:K8" si="4">D8+5%</f>
        <v>0.65000000000000013</v>
      </c>
      <c r="F8" s="284">
        <f t="shared" si="4"/>
        <v>0.70000000000000018</v>
      </c>
      <c r="G8" s="284">
        <f t="shared" si="4"/>
        <v>0.75000000000000022</v>
      </c>
      <c r="H8" s="284">
        <f t="shared" si="4"/>
        <v>0.80000000000000027</v>
      </c>
      <c r="I8" s="284">
        <f t="shared" si="4"/>
        <v>0.85000000000000031</v>
      </c>
      <c r="J8" s="284">
        <f t="shared" si="4"/>
        <v>0.90000000000000036</v>
      </c>
      <c r="K8" s="284">
        <f t="shared" si="4"/>
        <v>0.9500000000000004</v>
      </c>
    </row>
    <row r="9" spans="1:15" x14ac:dyDescent="0.25">
      <c r="A9" s="26" t="s">
        <v>159</v>
      </c>
      <c r="B9" s="32">
        <v>0.5</v>
      </c>
      <c r="C9" s="284">
        <f>B9+5%</f>
        <v>0.55000000000000004</v>
      </c>
      <c r="D9" s="284">
        <f t="shared" ref="D9" si="5">C9+5%</f>
        <v>0.60000000000000009</v>
      </c>
      <c r="E9" s="284">
        <f t="shared" ref="E9:K9" si="6">D9+5%</f>
        <v>0.65000000000000013</v>
      </c>
      <c r="F9" s="284">
        <f t="shared" si="6"/>
        <v>0.70000000000000018</v>
      </c>
      <c r="G9" s="284">
        <f t="shared" si="6"/>
        <v>0.75000000000000022</v>
      </c>
      <c r="H9" s="284">
        <f t="shared" si="6"/>
        <v>0.80000000000000027</v>
      </c>
      <c r="I9" s="284">
        <f t="shared" si="6"/>
        <v>0.85000000000000031</v>
      </c>
      <c r="J9" s="284">
        <f t="shared" si="6"/>
        <v>0.90000000000000036</v>
      </c>
      <c r="K9" s="284">
        <f t="shared" si="6"/>
        <v>0.9500000000000004</v>
      </c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x14ac:dyDescent="0.25">
      <c r="A11" s="8" t="s">
        <v>160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5" x14ac:dyDescent="0.25">
      <c r="A12" s="6" t="s">
        <v>719</v>
      </c>
      <c r="B12" s="6">
        <f>B6*B8</f>
        <v>375</v>
      </c>
      <c r="C12" s="6">
        <f t="shared" ref="C12:K12" si="7">C6*C8</f>
        <v>412.50000000000006</v>
      </c>
      <c r="D12" s="6">
        <f t="shared" si="7"/>
        <v>450.00000000000006</v>
      </c>
      <c r="E12" s="6">
        <f t="shared" si="7"/>
        <v>487.50000000000011</v>
      </c>
      <c r="F12" s="6">
        <f t="shared" si="7"/>
        <v>525.00000000000011</v>
      </c>
      <c r="G12" s="6">
        <f t="shared" si="7"/>
        <v>562.50000000000011</v>
      </c>
      <c r="H12" s="6">
        <f t="shared" si="7"/>
        <v>600.00000000000023</v>
      </c>
      <c r="I12" s="6">
        <f t="shared" si="7"/>
        <v>637.50000000000023</v>
      </c>
      <c r="J12" s="6">
        <f t="shared" si="7"/>
        <v>675.00000000000023</v>
      </c>
      <c r="K12" s="6">
        <f t="shared" si="7"/>
        <v>712.50000000000034</v>
      </c>
    </row>
    <row r="13" spans="1:15" x14ac:dyDescent="0.25">
      <c r="A13" s="33" t="s">
        <v>61</v>
      </c>
      <c r="B13" s="293">
        <v>2900</v>
      </c>
      <c r="C13" s="294">
        <f t="shared" ref="C13:H13" si="8">ROUND(B13*1.05,0)</f>
        <v>3045</v>
      </c>
      <c r="D13" s="294">
        <f t="shared" si="8"/>
        <v>3197</v>
      </c>
      <c r="E13" s="294">
        <f>ROUND(D13*1.05,0)</f>
        <v>3357</v>
      </c>
      <c r="F13" s="294">
        <f t="shared" si="8"/>
        <v>3525</v>
      </c>
      <c r="G13" s="294">
        <f>ROUND(F13*1.05,0)-50</f>
        <v>3651</v>
      </c>
      <c r="H13" s="294">
        <f>ROUND(G13*1.05,0)-50</f>
        <v>3784</v>
      </c>
      <c r="I13" s="294">
        <f>ROUND(H13*1.05,0)-50</f>
        <v>3923</v>
      </c>
      <c r="J13" s="294">
        <f t="shared" ref="J13" si="9">ROUND(I13*1.05,0)</f>
        <v>4119</v>
      </c>
      <c r="K13" s="294">
        <f t="shared" ref="K13" si="10">ROUND(J13*1.05,0)</f>
        <v>4325</v>
      </c>
      <c r="M13" s="25"/>
    </row>
    <row r="14" spans="1:15" x14ac:dyDescent="0.25">
      <c r="A14" s="34" t="s">
        <v>72</v>
      </c>
      <c r="B14" s="35">
        <f>B12*B13/100000</f>
        <v>10.875</v>
      </c>
      <c r="C14" s="35">
        <f t="shared" ref="C14:K14" si="11">C12*C13/100000</f>
        <v>12.560625000000002</v>
      </c>
      <c r="D14" s="35">
        <f t="shared" si="11"/>
        <v>14.386500000000002</v>
      </c>
      <c r="E14" s="35">
        <f t="shared" si="11"/>
        <v>16.365375000000004</v>
      </c>
      <c r="F14" s="35">
        <f t="shared" si="11"/>
        <v>18.506250000000005</v>
      </c>
      <c r="G14" s="35">
        <f t="shared" si="11"/>
        <v>20.536875000000006</v>
      </c>
      <c r="H14" s="35">
        <f t="shared" si="11"/>
        <v>22.704000000000008</v>
      </c>
      <c r="I14" s="35">
        <f t="shared" si="11"/>
        <v>25.009125000000008</v>
      </c>
      <c r="J14" s="35">
        <f t="shared" si="11"/>
        <v>27.803250000000009</v>
      </c>
      <c r="K14" s="35">
        <f t="shared" si="11"/>
        <v>30.815625000000015</v>
      </c>
      <c r="O14" s="1">
        <f>375000</f>
        <v>375000</v>
      </c>
    </row>
    <row r="15" spans="1:15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O15" s="1">
        <f>O14/25</f>
        <v>15000</v>
      </c>
    </row>
    <row r="16" spans="1:15" x14ac:dyDescent="0.25">
      <c r="A16" s="34" t="s">
        <v>161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6" x14ac:dyDescent="0.25">
      <c r="A17" s="6" t="s">
        <v>718</v>
      </c>
      <c r="B17" s="6">
        <f>ROUND(B7*B9*$L17,2)</f>
        <v>225</v>
      </c>
      <c r="C17" s="6">
        <f t="shared" ref="C17:K17" si="12">ROUND(C7*C9*$L17,2)</f>
        <v>247.5</v>
      </c>
      <c r="D17" s="6">
        <f t="shared" si="12"/>
        <v>270</v>
      </c>
      <c r="E17" s="6">
        <f t="shared" si="12"/>
        <v>292.5</v>
      </c>
      <c r="F17" s="6">
        <f t="shared" si="12"/>
        <v>315</v>
      </c>
      <c r="G17" s="6">
        <f t="shared" si="12"/>
        <v>337.5</v>
      </c>
      <c r="H17" s="6">
        <f t="shared" si="12"/>
        <v>360</v>
      </c>
      <c r="I17" s="6">
        <f t="shared" si="12"/>
        <v>382.5</v>
      </c>
      <c r="J17" s="6">
        <f t="shared" si="12"/>
        <v>405</v>
      </c>
      <c r="K17" s="6">
        <f t="shared" si="12"/>
        <v>427.5</v>
      </c>
      <c r="L17" s="38">
        <v>0.6</v>
      </c>
    </row>
    <row r="18" spans="1:16" x14ac:dyDescent="0.25">
      <c r="A18" s="6" t="s">
        <v>726</v>
      </c>
      <c r="B18" s="6">
        <f>ROUND(B7*B9*$L18,2)</f>
        <v>150</v>
      </c>
      <c r="C18" s="6">
        <f t="shared" ref="C18:K18" si="13">ROUND(C7*C9*$L18,2)</f>
        <v>165</v>
      </c>
      <c r="D18" s="6">
        <f t="shared" si="13"/>
        <v>180</v>
      </c>
      <c r="E18" s="6">
        <f t="shared" si="13"/>
        <v>195</v>
      </c>
      <c r="F18" s="6">
        <f t="shared" si="13"/>
        <v>210</v>
      </c>
      <c r="G18" s="6">
        <f t="shared" si="13"/>
        <v>225</v>
      </c>
      <c r="H18" s="6">
        <f t="shared" si="13"/>
        <v>240</v>
      </c>
      <c r="I18" s="6">
        <f t="shared" si="13"/>
        <v>255</v>
      </c>
      <c r="J18" s="6">
        <f t="shared" si="13"/>
        <v>270</v>
      </c>
      <c r="K18" s="6">
        <f t="shared" si="13"/>
        <v>285</v>
      </c>
      <c r="L18" s="38">
        <v>0.4</v>
      </c>
    </row>
    <row r="19" spans="1:16" hidden="1" x14ac:dyDescent="0.25">
      <c r="A19" s="8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P19" s="4"/>
    </row>
    <row r="20" spans="1:16" hidden="1" x14ac:dyDescent="0.25">
      <c r="A20" s="36" t="s">
        <v>637</v>
      </c>
      <c r="B20" s="37">
        <f>B17*$L$20</f>
        <v>112.5</v>
      </c>
      <c r="C20" s="37">
        <f t="shared" ref="C20:K20" si="14">C17*$L$20</f>
        <v>123.75</v>
      </c>
      <c r="D20" s="37">
        <f t="shared" si="14"/>
        <v>135</v>
      </c>
      <c r="E20" s="37">
        <f t="shared" si="14"/>
        <v>146.25</v>
      </c>
      <c r="F20" s="37">
        <f t="shared" si="14"/>
        <v>157.5</v>
      </c>
      <c r="G20" s="37">
        <f t="shared" si="14"/>
        <v>168.75</v>
      </c>
      <c r="H20" s="37">
        <f t="shared" si="14"/>
        <v>180</v>
      </c>
      <c r="I20" s="37">
        <f t="shared" si="14"/>
        <v>191.25</v>
      </c>
      <c r="J20" s="37">
        <f t="shared" si="14"/>
        <v>202.5</v>
      </c>
      <c r="K20" s="37">
        <f t="shared" si="14"/>
        <v>213.75</v>
      </c>
      <c r="L20" s="265">
        <v>0.5</v>
      </c>
    </row>
    <row r="21" spans="1:16" hidden="1" x14ac:dyDescent="0.25">
      <c r="A21" s="36" t="s">
        <v>614</v>
      </c>
      <c r="B21" s="37">
        <f>B17*$L$21</f>
        <v>45</v>
      </c>
      <c r="C21" s="37">
        <f t="shared" ref="C21:K21" si="15">C17*$L$21</f>
        <v>49.5</v>
      </c>
      <c r="D21" s="37">
        <f t="shared" si="15"/>
        <v>54</v>
      </c>
      <c r="E21" s="37">
        <f t="shared" si="15"/>
        <v>58.5</v>
      </c>
      <c r="F21" s="37">
        <f t="shared" si="15"/>
        <v>63</v>
      </c>
      <c r="G21" s="37">
        <f t="shared" si="15"/>
        <v>67.5</v>
      </c>
      <c r="H21" s="37">
        <f t="shared" si="15"/>
        <v>72</v>
      </c>
      <c r="I21" s="37">
        <f t="shared" si="15"/>
        <v>76.5</v>
      </c>
      <c r="J21" s="37">
        <f t="shared" si="15"/>
        <v>81</v>
      </c>
      <c r="K21" s="37">
        <f t="shared" si="15"/>
        <v>85.5</v>
      </c>
      <c r="L21" s="265">
        <v>0.2</v>
      </c>
    </row>
    <row r="22" spans="1:16" hidden="1" x14ac:dyDescent="0.25">
      <c r="A22" s="36" t="s">
        <v>562</v>
      </c>
      <c r="B22" s="37">
        <f>ROUND(B17*$L$22,0)</f>
        <v>45</v>
      </c>
      <c r="C22" s="37">
        <f t="shared" ref="C22:K22" si="16">ROUND(C17*$L$22,0)</f>
        <v>50</v>
      </c>
      <c r="D22" s="37">
        <f t="shared" si="16"/>
        <v>54</v>
      </c>
      <c r="E22" s="37">
        <f t="shared" si="16"/>
        <v>59</v>
      </c>
      <c r="F22" s="37">
        <f t="shared" si="16"/>
        <v>63</v>
      </c>
      <c r="G22" s="37">
        <f t="shared" si="16"/>
        <v>68</v>
      </c>
      <c r="H22" s="37">
        <f t="shared" si="16"/>
        <v>72</v>
      </c>
      <c r="I22" s="37">
        <f t="shared" si="16"/>
        <v>77</v>
      </c>
      <c r="J22" s="37">
        <f t="shared" si="16"/>
        <v>81</v>
      </c>
      <c r="K22" s="37">
        <f t="shared" si="16"/>
        <v>86</v>
      </c>
      <c r="L22" s="265">
        <v>0.2</v>
      </c>
    </row>
    <row r="23" spans="1:16" hidden="1" x14ac:dyDescent="0.25">
      <c r="A23" s="36" t="s">
        <v>615</v>
      </c>
      <c r="B23" s="37">
        <f>B17*$L$23</f>
        <v>18</v>
      </c>
      <c r="C23" s="37">
        <f t="shared" ref="C23:K23" si="17">C17*$L$23</f>
        <v>19.8</v>
      </c>
      <c r="D23" s="37">
        <f t="shared" si="17"/>
        <v>21.6</v>
      </c>
      <c r="E23" s="37">
        <f t="shared" si="17"/>
        <v>23.400000000000002</v>
      </c>
      <c r="F23" s="37">
        <f t="shared" si="17"/>
        <v>25.2</v>
      </c>
      <c r="G23" s="37">
        <f t="shared" si="17"/>
        <v>27</v>
      </c>
      <c r="H23" s="37">
        <f t="shared" si="17"/>
        <v>28.8</v>
      </c>
      <c r="I23" s="37">
        <f t="shared" si="17"/>
        <v>30.6</v>
      </c>
      <c r="J23" s="37">
        <f t="shared" si="17"/>
        <v>32.4</v>
      </c>
      <c r="K23" s="37">
        <f t="shared" si="17"/>
        <v>34.200000000000003</v>
      </c>
      <c r="L23" s="265">
        <v>0.08</v>
      </c>
    </row>
    <row r="24" spans="1:16" hidden="1" x14ac:dyDescent="0.25">
      <c r="A24" s="36" t="s">
        <v>63</v>
      </c>
      <c r="B24" s="37">
        <v>0</v>
      </c>
      <c r="C24" s="37">
        <f t="shared" ref="C24:H24" si="18">C12*$L$24</f>
        <v>0</v>
      </c>
      <c r="D24" s="37">
        <f t="shared" si="18"/>
        <v>0</v>
      </c>
      <c r="E24" s="37">
        <f t="shared" si="18"/>
        <v>0</v>
      </c>
      <c r="F24" s="37">
        <f t="shared" si="18"/>
        <v>0</v>
      </c>
      <c r="G24" s="37">
        <f t="shared" si="18"/>
        <v>0</v>
      </c>
      <c r="H24" s="37">
        <f t="shared" si="18"/>
        <v>0</v>
      </c>
      <c r="I24" s="37"/>
      <c r="J24" s="37"/>
      <c r="K24" s="37"/>
      <c r="L24" s="38">
        <v>0</v>
      </c>
    </row>
    <row r="25" spans="1:16" x14ac:dyDescent="0.25">
      <c r="A25" s="36"/>
      <c r="B25" s="37">
        <f>B18*10</f>
        <v>1500</v>
      </c>
      <c r="C25" s="37">
        <f t="shared" ref="C25:H25" si="19">C18*10</f>
        <v>1650</v>
      </c>
      <c r="D25" s="37">
        <f t="shared" si="19"/>
        <v>1800</v>
      </c>
      <c r="E25" s="37">
        <f t="shared" si="19"/>
        <v>1950</v>
      </c>
      <c r="F25" s="37">
        <f t="shared" si="19"/>
        <v>2100</v>
      </c>
      <c r="G25" s="37">
        <f t="shared" si="19"/>
        <v>2250</v>
      </c>
      <c r="H25" s="37">
        <f t="shared" si="19"/>
        <v>2400</v>
      </c>
      <c r="I25" s="37"/>
      <c r="J25" s="37"/>
      <c r="K25" s="37"/>
      <c r="L25" s="38"/>
    </row>
    <row r="26" spans="1:16" x14ac:dyDescent="0.25">
      <c r="A26" s="8" t="s">
        <v>720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6" x14ac:dyDescent="0.25">
      <c r="A27" s="36" t="s">
        <v>721</v>
      </c>
      <c r="B27" s="37">
        <f>ROUND(B$17*$L$27,0)</f>
        <v>164</v>
      </c>
      <c r="C27" s="37">
        <f t="shared" ref="C27:K27" si="20">ROUND(C$17*$L$27,0)</f>
        <v>181</v>
      </c>
      <c r="D27" s="37">
        <f t="shared" si="20"/>
        <v>197</v>
      </c>
      <c r="E27" s="37">
        <f t="shared" si="20"/>
        <v>214</v>
      </c>
      <c r="F27" s="37">
        <f t="shared" si="20"/>
        <v>230</v>
      </c>
      <c r="G27" s="37">
        <f t="shared" si="20"/>
        <v>246</v>
      </c>
      <c r="H27" s="37">
        <f t="shared" si="20"/>
        <v>263</v>
      </c>
      <c r="I27" s="37">
        <f t="shared" si="20"/>
        <v>279</v>
      </c>
      <c r="J27" s="37">
        <f t="shared" si="20"/>
        <v>296</v>
      </c>
      <c r="K27" s="37">
        <f t="shared" si="20"/>
        <v>312</v>
      </c>
      <c r="L27" s="265">
        <v>0.73</v>
      </c>
      <c r="M27" s="25">
        <f>+'CS-FG'!C35</f>
        <v>85000</v>
      </c>
      <c r="N27" s="25">
        <f>M27*L27</f>
        <v>62050</v>
      </c>
    </row>
    <row r="28" spans="1:16" x14ac:dyDescent="0.25">
      <c r="A28" s="36" t="s">
        <v>735</v>
      </c>
      <c r="B28" s="37">
        <f>ROUND(B$17*$L$28,0)</f>
        <v>56</v>
      </c>
      <c r="C28" s="37">
        <f t="shared" ref="C28:K28" si="21">ROUND(C$17*$L$28,0)</f>
        <v>62</v>
      </c>
      <c r="D28" s="37">
        <f t="shared" si="21"/>
        <v>68</v>
      </c>
      <c r="E28" s="37">
        <f t="shared" si="21"/>
        <v>73</v>
      </c>
      <c r="F28" s="37">
        <f t="shared" si="21"/>
        <v>79</v>
      </c>
      <c r="G28" s="37">
        <f t="shared" si="21"/>
        <v>84</v>
      </c>
      <c r="H28" s="37">
        <f t="shared" si="21"/>
        <v>90</v>
      </c>
      <c r="I28" s="37">
        <f t="shared" si="21"/>
        <v>96</v>
      </c>
      <c r="J28" s="37">
        <f t="shared" si="21"/>
        <v>101</v>
      </c>
      <c r="K28" s="37">
        <f t="shared" si="21"/>
        <v>107</v>
      </c>
      <c r="L28" s="265">
        <v>0.25</v>
      </c>
      <c r="M28" s="25">
        <f>+'CS-FG'!C36</f>
        <v>20000</v>
      </c>
      <c r="N28" s="25">
        <f t="shared" ref="N28:N30" si="22">M28*L28</f>
        <v>5000</v>
      </c>
    </row>
    <row r="29" spans="1:16" x14ac:dyDescent="0.25">
      <c r="A29" s="36" t="s">
        <v>733</v>
      </c>
      <c r="B29" s="37">
        <f>ROUND(B$17*$L$29,0)</f>
        <v>0</v>
      </c>
      <c r="C29" s="37">
        <f t="shared" ref="C29:K29" si="23">ROUND(C$17*$L$29,0)</f>
        <v>0</v>
      </c>
      <c r="D29" s="37">
        <f t="shared" si="23"/>
        <v>0</v>
      </c>
      <c r="E29" s="37">
        <f t="shared" si="23"/>
        <v>0</v>
      </c>
      <c r="F29" s="37">
        <f t="shared" si="23"/>
        <v>0</v>
      </c>
      <c r="G29" s="37">
        <f t="shared" si="23"/>
        <v>0</v>
      </c>
      <c r="H29" s="37">
        <f t="shared" si="23"/>
        <v>0</v>
      </c>
      <c r="I29" s="37">
        <f t="shared" si="23"/>
        <v>0</v>
      </c>
      <c r="J29" s="37">
        <f t="shared" si="23"/>
        <v>0</v>
      </c>
      <c r="K29" s="37">
        <f t="shared" si="23"/>
        <v>0</v>
      </c>
      <c r="L29" s="265">
        <v>0</v>
      </c>
      <c r="M29" s="25">
        <f>+'CS-FG'!C37</f>
        <v>0</v>
      </c>
      <c r="N29" s="25">
        <f t="shared" si="22"/>
        <v>0</v>
      </c>
    </row>
    <row r="30" spans="1:16" x14ac:dyDescent="0.25">
      <c r="A30" s="36" t="s">
        <v>734</v>
      </c>
      <c r="B30" s="37">
        <f>ROUND(B$17*$L$30,0)</f>
        <v>0</v>
      </c>
      <c r="C30" s="37">
        <f t="shared" ref="C30:K30" si="24">ROUND(C$17*$L$30,0)</f>
        <v>0</v>
      </c>
      <c r="D30" s="37">
        <f t="shared" si="24"/>
        <v>0</v>
      </c>
      <c r="E30" s="37">
        <f t="shared" si="24"/>
        <v>0</v>
      </c>
      <c r="F30" s="37">
        <f t="shared" si="24"/>
        <v>0</v>
      </c>
      <c r="G30" s="37">
        <f t="shared" si="24"/>
        <v>0</v>
      </c>
      <c r="H30" s="37">
        <f t="shared" si="24"/>
        <v>0</v>
      </c>
      <c r="I30" s="37">
        <f t="shared" si="24"/>
        <v>0</v>
      </c>
      <c r="J30" s="37">
        <f t="shared" si="24"/>
        <v>0</v>
      </c>
      <c r="K30" s="37">
        <f t="shared" si="24"/>
        <v>0</v>
      </c>
      <c r="L30" s="265">
        <v>0</v>
      </c>
      <c r="M30" s="25">
        <f>+'CS-FG'!C38</f>
        <v>0</v>
      </c>
      <c r="N30" s="25">
        <f t="shared" si="22"/>
        <v>0</v>
      </c>
    </row>
    <row r="31" spans="1:16" x14ac:dyDescent="0.25">
      <c r="A31" s="36" t="s">
        <v>722</v>
      </c>
      <c r="B31" s="37">
        <f>ROUND(B$17*$L$31,0)</f>
        <v>5</v>
      </c>
      <c r="C31" s="37">
        <f t="shared" ref="C31:K31" si="25">ROUND(C$17*$L$31,0)</f>
        <v>5</v>
      </c>
      <c r="D31" s="37">
        <f t="shared" si="25"/>
        <v>5</v>
      </c>
      <c r="E31" s="37">
        <f t="shared" si="25"/>
        <v>6</v>
      </c>
      <c r="F31" s="37">
        <f t="shared" si="25"/>
        <v>6</v>
      </c>
      <c r="G31" s="37">
        <f t="shared" si="25"/>
        <v>7</v>
      </c>
      <c r="H31" s="37">
        <f t="shared" si="25"/>
        <v>7</v>
      </c>
      <c r="I31" s="37">
        <f t="shared" si="25"/>
        <v>8</v>
      </c>
      <c r="J31" s="37">
        <f t="shared" si="25"/>
        <v>8</v>
      </c>
      <c r="K31" s="37">
        <f t="shared" si="25"/>
        <v>9</v>
      </c>
      <c r="L31" s="265">
        <v>0.02</v>
      </c>
      <c r="M31" s="25">
        <f>+'CS-FG'!C39</f>
        <v>0</v>
      </c>
      <c r="N31" s="25"/>
    </row>
    <row r="32" spans="1:16" x14ac:dyDescent="0.25">
      <c r="A32" s="6"/>
      <c r="B32" s="204"/>
      <c r="C32" s="204"/>
      <c r="D32" s="204"/>
      <c r="E32" s="204"/>
      <c r="F32" s="204"/>
      <c r="G32" s="204"/>
      <c r="H32" s="204"/>
      <c r="I32" s="6"/>
      <c r="J32" s="6"/>
      <c r="K32" s="6"/>
    </row>
    <row r="33" spans="1:14" x14ac:dyDescent="0.25">
      <c r="A33" s="8" t="s">
        <v>723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4" x14ac:dyDescent="0.25">
      <c r="A34" s="36" t="s">
        <v>724</v>
      </c>
      <c r="B34" s="37">
        <f>ROUND(B$18*$L34,0)</f>
        <v>113</v>
      </c>
      <c r="C34" s="37">
        <f t="shared" ref="C34:K37" si="26">ROUND(C$18*$L34,0)</f>
        <v>124</v>
      </c>
      <c r="D34" s="37">
        <f t="shared" si="26"/>
        <v>135</v>
      </c>
      <c r="E34" s="37">
        <f t="shared" si="26"/>
        <v>146</v>
      </c>
      <c r="F34" s="37">
        <f t="shared" si="26"/>
        <v>158</v>
      </c>
      <c r="G34" s="37">
        <f t="shared" si="26"/>
        <v>169</v>
      </c>
      <c r="H34" s="37">
        <f t="shared" si="26"/>
        <v>180</v>
      </c>
      <c r="I34" s="37">
        <f t="shared" si="26"/>
        <v>191</v>
      </c>
      <c r="J34" s="37">
        <f t="shared" si="26"/>
        <v>203</v>
      </c>
      <c r="K34" s="37">
        <f t="shared" si="26"/>
        <v>214</v>
      </c>
      <c r="L34" s="265">
        <v>0.75</v>
      </c>
      <c r="M34" s="25">
        <f>+'CS-FG'!C93</f>
        <v>80000</v>
      </c>
      <c r="N34" s="25">
        <f>M34*L34</f>
        <v>60000</v>
      </c>
    </row>
    <row r="35" spans="1:14" x14ac:dyDescent="0.25">
      <c r="A35" s="36" t="s">
        <v>736</v>
      </c>
      <c r="B35" s="37">
        <f>ROUND(B$18*$L35,0)</f>
        <v>12</v>
      </c>
      <c r="C35" s="37">
        <f t="shared" si="26"/>
        <v>13</v>
      </c>
      <c r="D35" s="37">
        <f t="shared" si="26"/>
        <v>14</v>
      </c>
      <c r="E35" s="37">
        <f t="shared" si="26"/>
        <v>16</v>
      </c>
      <c r="F35" s="37">
        <f t="shared" si="26"/>
        <v>17</v>
      </c>
      <c r="G35" s="37">
        <f t="shared" si="26"/>
        <v>18</v>
      </c>
      <c r="H35" s="37">
        <f t="shared" si="26"/>
        <v>19</v>
      </c>
      <c r="I35" s="37">
        <f t="shared" si="26"/>
        <v>20</v>
      </c>
      <c r="J35" s="37">
        <f t="shared" si="26"/>
        <v>22</v>
      </c>
      <c r="K35" s="37">
        <f t="shared" si="26"/>
        <v>23</v>
      </c>
      <c r="L35" s="265">
        <v>0.08</v>
      </c>
      <c r="M35" s="25">
        <f>+'CS-FG'!C94</f>
        <v>15000</v>
      </c>
      <c r="N35" s="25">
        <f t="shared" ref="N35:N37" si="27">M35*L35</f>
        <v>1200</v>
      </c>
    </row>
    <row r="36" spans="1:14" x14ac:dyDescent="0.25">
      <c r="A36" s="36" t="str">
        <f>+A29</f>
        <v>Bhusa</v>
      </c>
      <c r="B36" s="37">
        <f>ROUND(B$18*$L36,0)</f>
        <v>23</v>
      </c>
      <c r="C36" s="37">
        <f t="shared" si="26"/>
        <v>25</v>
      </c>
      <c r="D36" s="37">
        <f t="shared" si="26"/>
        <v>27</v>
      </c>
      <c r="E36" s="37">
        <f t="shared" si="26"/>
        <v>29</v>
      </c>
      <c r="F36" s="37">
        <f t="shared" si="26"/>
        <v>32</v>
      </c>
      <c r="G36" s="37">
        <f t="shared" si="26"/>
        <v>34</v>
      </c>
      <c r="H36" s="37">
        <f t="shared" si="26"/>
        <v>36</v>
      </c>
      <c r="I36" s="37">
        <f t="shared" si="26"/>
        <v>38</v>
      </c>
      <c r="J36" s="37">
        <f t="shared" si="26"/>
        <v>41</v>
      </c>
      <c r="K36" s="37">
        <f t="shared" si="26"/>
        <v>43</v>
      </c>
      <c r="L36" s="265">
        <v>0.15</v>
      </c>
      <c r="M36" s="25">
        <f>+'CS-FG'!C95</f>
        <v>15000</v>
      </c>
      <c r="N36" s="25">
        <f t="shared" si="27"/>
        <v>2250</v>
      </c>
    </row>
    <row r="37" spans="1:14" x14ac:dyDescent="0.25">
      <c r="A37" s="36" t="str">
        <f>+A30</f>
        <v>Powder</v>
      </c>
      <c r="B37" s="37">
        <f>ROUND(B$18*$L37,0)</f>
        <v>0</v>
      </c>
      <c r="C37" s="37">
        <f t="shared" si="26"/>
        <v>0</v>
      </c>
      <c r="D37" s="37">
        <f t="shared" si="26"/>
        <v>0</v>
      </c>
      <c r="E37" s="37">
        <f t="shared" si="26"/>
        <v>0</v>
      </c>
      <c r="F37" s="37">
        <f t="shared" si="26"/>
        <v>0</v>
      </c>
      <c r="G37" s="37">
        <f t="shared" si="26"/>
        <v>0</v>
      </c>
      <c r="H37" s="37">
        <f t="shared" si="26"/>
        <v>0</v>
      </c>
      <c r="I37" s="37">
        <f t="shared" si="26"/>
        <v>0</v>
      </c>
      <c r="J37" s="37">
        <f t="shared" si="26"/>
        <v>0</v>
      </c>
      <c r="K37" s="37">
        <f t="shared" si="26"/>
        <v>0</v>
      </c>
      <c r="L37" s="265">
        <v>0</v>
      </c>
      <c r="M37" s="25">
        <f>+'CS-FG'!C96</f>
        <v>15000</v>
      </c>
      <c r="N37" s="25">
        <f t="shared" si="27"/>
        <v>0</v>
      </c>
    </row>
    <row r="38" spans="1:14" x14ac:dyDescent="0.25">
      <c r="A38" s="36" t="s">
        <v>722</v>
      </c>
      <c r="B38" s="37">
        <f>ROUND(B$18*$L$38,0)</f>
        <v>3</v>
      </c>
      <c r="C38" s="37">
        <f t="shared" ref="C38:K38" si="28">ROUND(C$18*$L$38,0)</f>
        <v>3</v>
      </c>
      <c r="D38" s="37">
        <f t="shared" si="28"/>
        <v>4</v>
      </c>
      <c r="E38" s="37">
        <f t="shared" si="28"/>
        <v>4</v>
      </c>
      <c r="F38" s="37">
        <f t="shared" si="28"/>
        <v>4</v>
      </c>
      <c r="G38" s="37">
        <f t="shared" si="28"/>
        <v>5</v>
      </c>
      <c r="H38" s="37">
        <f t="shared" si="28"/>
        <v>5</v>
      </c>
      <c r="I38" s="37">
        <f t="shared" si="28"/>
        <v>5</v>
      </c>
      <c r="J38" s="37">
        <f t="shared" si="28"/>
        <v>5</v>
      </c>
      <c r="K38" s="37">
        <f t="shared" si="28"/>
        <v>6</v>
      </c>
      <c r="L38" s="265">
        <v>0.02</v>
      </c>
      <c r="M38" s="25">
        <f>+'CS-FG'!C97</f>
        <v>0</v>
      </c>
      <c r="N38" s="25"/>
    </row>
    <row r="39" spans="1:14" x14ac:dyDescent="0.25">
      <c r="A39" s="6"/>
      <c r="B39" s="6">
        <f>B38*10</f>
        <v>30</v>
      </c>
      <c r="C39" s="6">
        <f t="shared" ref="C39:H39" si="29">C38*10</f>
        <v>30</v>
      </c>
      <c r="D39" s="6">
        <f t="shared" si="29"/>
        <v>40</v>
      </c>
      <c r="E39" s="6">
        <f t="shared" si="29"/>
        <v>40</v>
      </c>
      <c r="F39" s="6">
        <f t="shared" si="29"/>
        <v>40</v>
      </c>
      <c r="G39" s="6">
        <f t="shared" si="29"/>
        <v>50</v>
      </c>
      <c r="H39" s="6">
        <f t="shared" si="29"/>
        <v>50</v>
      </c>
      <c r="I39" s="6"/>
      <c r="J39" s="6"/>
      <c r="K39" s="6"/>
    </row>
    <row r="40" spans="1:14" x14ac:dyDescent="0.25">
      <c r="A40" s="6" t="s">
        <v>725</v>
      </c>
      <c r="B40" s="6">
        <f>0.5*10</f>
        <v>5</v>
      </c>
      <c r="C40" s="6">
        <f>+B40</f>
        <v>5</v>
      </c>
      <c r="D40" s="6">
        <f t="shared" ref="D40:K40" si="30">+C40</f>
        <v>5</v>
      </c>
      <c r="E40" s="6">
        <f t="shared" si="30"/>
        <v>5</v>
      </c>
      <c r="F40" s="6">
        <f t="shared" si="30"/>
        <v>5</v>
      </c>
      <c r="G40" s="6">
        <f t="shared" si="30"/>
        <v>5</v>
      </c>
      <c r="H40" s="6">
        <f t="shared" si="30"/>
        <v>5</v>
      </c>
      <c r="I40" s="6">
        <f t="shared" si="30"/>
        <v>5</v>
      </c>
      <c r="J40" s="6">
        <f t="shared" si="30"/>
        <v>5</v>
      </c>
      <c r="K40" s="6">
        <f t="shared" si="30"/>
        <v>5</v>
      </c>
      <c r="N40" s="25">
        <f>SUM(N27:N32)</f>
        <v>67050</v>
      </c>
    </row>
    <row r="41" spans="1:1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 x14ac:dyDescent="0.25">
      <c r="A42" s="36" t="s">
        <v>157</v>
      </c>
      <c r="B42" s="6">
        <f t="shared" ref="B42:K42" si="31">ROUND(B12/B40,0)</f>
        <v>75</v>
      </c>
      <c r="C42" s="6">
        <f t="shared" si="31"/>
        <v>83</v>
      </c>
      <c r="D42" s="6">
        <f t="shared" si="31"/>
        <v>90</v>
      </c>
      <c r="E42" s="6">
        <f t="shared" si="31"/>
        <v>98</v>
      </c>
      <c r="F42" s="6">
        <f t="shared" si="31"/>
        <v>105</v>
      </c>
      <c r="G42" s="6">
        <f t="shared" si="31"/>
        <v>113</v>
      </c>
      <c r="H42" s="6">
        <f t="shared" si="31"/>
        <v>120</v>
      </c>
      <c r="I42" s="6">
        <f t="shared" si="31"/>
        <v>128</v>
      </c>
      <c r="J42" s="6">
        <f t="shared" si="31"/>
        <v>135</v>
      </c>
      <c r="K42" s="6">
        <f t="shared" si="31"/>
        <v>143</v>
      </c>
    </row>
    <row r="43" spans="1:14" x14ac:dyDescent="0.25">
      <c r="A43" s="36" t="s">
        <v>162</v>
      </c>
      <c r="B43" s="6">
        <f>ROUND((B17+B18)/B40,0)</f>
        <v>75</v>
      </c>
      <c r="C43" s="6">
        <f t="shared" ref="C43:K43" si="32">ROUND((C17+C18)/C40,0)</f>
        <v>83</v>
      </c>
      <c r="D43" s="6">
        <f t="shared" si="32"/>
        <v>90</v>
      </c>
      <c r="E43" s="6">
        <f t="shared" si="32"/>
        <v>98</v>
      </c>
      <c r="F43" s="6">
        <f t="shared" si="32"/>
        <v>105</v>
      </c>
      <c r="G43" s="6">
        <f t="shared" si="32"/>
        <v>113</v>
      </c>
      <c r="H43" s="6">
        <f t="shared" si="32"/>
        <v>120</v>
      </c>
      <c r="I43" s="6">
        <f t="shared" si="32"/>
        <v>128</v>
      </c>
      <c r="J43" s="6">
        <f t="shared" si="32"/>
        <v>135</v>
      </c>
      <c r="K43" s="6">
        <f t="shared" si="32"/>
        <v>143</v>
      </c>
    </row>
    <row r="44" spans="1:14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4" s="3" customFormat="1" x14ac:dyDescent="0.25">
      <c r="A45" s="8" t="s">
        <v>163</v>
      </c>
      <c r="B45" s="8">
        <f>B42+B43</f>
        <v>150</v>
      </c>
      <c r="C45" s="8">
        <f t="shared" ref="C45:K45" si="33">C42+C43</f>
        <v>166</v>
      </c>
      <c r="D45" s="8">
        <f t="shared" si="33"/>
        <v>180</v>
      </c>
      <c r="E45" s="8">
        <f t="shared" si="33"/>
        <v>196</v>
      </c>
      <c r="F45" s="8">
        <f t="shared" si="33"/>
        <v>210</v>
      </c>
      <c r="G45" s="8">
        <f t="shared" si="33"/>
        <v>226</v>
      </c>
      <c r="H45" s="8">
        <f t="shared" si="33"/>
        <v>240</v>
      </c>
      <c r="I45" s="8">
        <f t="shared" si="33"/>
        <v>256</v>
      </c>
      <c r="J45" s="8">
        <f t="shared" si="33"/>
        <v>270</v>
      </c>
      <c r="K45" s="8">
        <f t="shared" si="33"/>
        <v>286</v>
      </c>
    </row>
  </sheetData>
  <mergeCells count="1">
    <mergeCell ref="B4:K4"/>
  </mergeCells>
  <pageMargins left="0.7" right="0.7" top="0.75" bottom="0.75" header="0.3" footer="0.3"/>
  <pageSetup scale="61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view="pageBreakPreview" topLeftCell="A9" zoomScale="70" zoomScaleNormal="100" zoomScaleSheetLayoutView="70" workbookViewId="0">
      <selection activeCell="B25" sqref="B25"/>
    </sheetView>
  </sheetViews>
  <sheetFormatPr defaultColWidth="9.140625" defaultRowHeight="15" x14ac:dyDescent="0.25"/>
  <cols>
    <col min="1" max="1" width="36.5703125" style="1" customWidth="1"/>
    <col min="2" max="2" width="15" style="1" bestFit="1" customWidth="1"/>
    <col min="3" max="3" width="14.5703125" style="1" bestFit="1" customWidth="1"/>
    <col min="4" max="4" width="15" style="1" bestFit="1" customWidth="1"/>
    <col min="5" max="5" width="14.5703125" style="1" bestFit="1" customWidth="1"/>
    <col min="6" max="6" width="15" style="1" bestFit="1" customWidth="1"/>
    <col min="7" max="8" width="14.5703125" style="1" bestFit="1" customWidth="1"/>
    <col min="9" max="9" width="15" style="1" bestFit="1" customWidth="1"/>
    <col min="10" max="10" width="14.5703125" style="1" bestFit="1" customWidth="1"/>
    <col min="11" max="11" width="15" style="1" bestFit="1" customWidth="1"/>
    <col min="12" max="16384" width="9.140625" style="1"/>
  </cols>
  <sheetData>
    <row r="2" spans="1:11" x14ac:dyDescent="0.25">
      <c r="A2" s="15" t="s">
        <v>1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221" t="s">
        <v>41</v>
      </c>
      <c r="H2" s="221" t="s">
        <v>42</v>
      </c>
      <c r="I2" s="221" t="s">
        <v>495</v>
      </c>
      <c r="J2" s="221" t="s">
        <v>496</v>
      </c>
      <c r="K2" s="221" t="s">
        <v>497</v>
      </c>
    </row>
    <row r="3" spans="1:11" x14ac:dyDescent="0.25">
      <c r="A3" s="26" t="s">
        <v>64</v>
      </c>
      <c r="B3" s="36"/>
      <c r="C3" s="36"/>
      <c r="D3" s="36"/>
      <c r="E3" s="36"/>
      <c r="F3" s="36"/>
      <c r="G3" s="6"/>
      <c r="H3" s="6"/>
      <c r="I3" s="6"/>
      <c r="J3" s="6"/>
      <c r="K3" s="6"/>
    </row>
    <row r="4" spans="1:11" x14ac:dyDescent="0.25">
      <c r="A4" s="26" t="s">
        <v>727</v>
      </c>
      <c r="B4" s="36"/>
      <c r="C4" s="36"/>
      <c r="D4" s="36"/>
      <c r="E4" s="36"/>
      <c r="F4" s="36"/>
      <c r="G4" s="6"/>
      <c r="H4" s="6"/>
      <c r="I4" s="6"/>
      <c r="J4" s="6"/>
      <c r="K4" s="6"/>
    </row>
    <row r="5" spans="1:11" x14ac:dyDescent="0.25">
      <c r="A5" s="36" t="s">
        <v>65</v>
      </c>
      <c r="B5" s="36">
        <v>0</v>
      </c>
      <c r="C5" s="36">
        <f>B8</f>
        <v>9</v>
      </c>
      <c r="D5" s="36">
        <f>C8</f>
        <v>10</v>
      </c>
      <c r="E5" s="36">
        <f>D8</f>
        <v>11</v>
      </c>
      <c r="F5" s="36">
        <f>E8</f>
        <v>12</v>
      </c>
      <c r="G5" s="36">
        <f t="shared" ref="G5:H5" si="0">F8</f>
        <v>13</v>
      </c>
      <c r="H5" s="36">
        <f t="shared" si="0"/>
        <v>14</v>
      </c>
      <c r="I5" s="36">
        <f t="shared" ref="I5" si="1">H8</f>
        <v>15</v>
      </c>
      <c r="J5" s="36">
        <f t="shared" ref="J5" si="2">I8</f>
        <v>16</v>
      </c>
      <c r="K5" s="36">
        <f t="shared" ref="K5" si="3">J8</f>
        <v>17</v>
      </c>
    </row>
    <row r="6" spans="1:11" x14ac:dyDescent="0.25">
      <c r="A6" s="36" t="s">
        <v>66</v>
      </c>
      <c r="B6" s="37">
        <f>SUM(B7:B8)-B5</f>
        <v>234</v>
      </c>
      <c r="C6" s="37">
        <f>SUM(C7:C8)-C5</f>
        <v>248.5</v>
      </c>
      <c r="D6" s="37">
        <f t="shared" ref="D6:K6" si="4">SUM(D7:D8)-D5</f>
        <v>271</v>
      </c>
      <c r="E6" s="37">
        <f t="shared" si="4"/>
        <v>293.5</v>
      </c>
      <c r="F6" s="37">
        <f t="shared" si="4"/>
        <v>316</v>
      </c>
      <c r="G6" s="37">
        <f t="shared" si="4"/>
        <v>338.5</v>
      </c>
      <c r="H6" s="37">
        <f t="shared" si="4"/>
        <v>361</v>
      </c>
      <c r="I6" s="37">
        <f t="shared" si="4"/>
        <v>383.5</v>
      </c>
      <c r="J6" s="37">
        <f t="shared" si="4"/>
        <v>406</v>
      </c>
      <c r="K6" s="37">
        <f t="shared" si="4"/>
        <v>428.5</v>
      </c>
    </row>
    <row r="7" spans="1:11" x14ac:dyDescent="0.25">
      <c r="A7" s="36" t="s">
        <v>67</v>
      </c>
      <c r="B7" s="37">
        <f>'Output Schedule'!B17</f>
        <v>225</v>
      </c>
      <c r="C7" s="37">
        <f>'Output Schedule'!C17</f>
        <v>247.5</v>
      </c>
      <c r="D7" s="37">
        <f>'Output Schedule'!D17</f>
        <v>270</v>
      </c>
      <c r="E7" s="37">
        <f>'Output Schedule'!E17</f>
        <v>292.5</v>
      </c>
      <c r="F7" s="37">
        <f>'Output Schedule'!F17</f>
        <v>315</v>
      </c>
      <c r="G7" s="37">
        <f>'Output Schedule'!G17</f>
        <v>337.5</v>
      </c>
      <c r="H7" s="37">
        <f>'Output Schedule'!H17</f>
        <v>360</v>
      </c>
      <c r="I7" s="37">
        <f>'Output Schedule'!I17</f>
        <v>382.5</v>
      </c>
      <c r="J7" s="37">
        <f>'Output Schedule'!J17</f>
        <v>405</v>
      </c>
      <c r="K7" s="37">
        <f>'Output Schedule'!K17</f>
        <v>427.5</v>
      </c>
    </row>
    <row r="8" spans="1:11" x14ac:dyDescent="0.25">
      <c r="A8" s="36" t="s">
        <v>68</v>
      </c>
      <c r="B8" s="36">
        <f>ROUND(B7/24,0)</f>
        <v>9</v>
      </c>
      <c r="C8" s="36">
        <f t="shared" ref="C8:K8" si="5">ROUND(C7/24,0)</f>
        <v>10</v>
      </c>
      <c r="D8" s="36">
        <f t="shared" si="5"/>
        <v>11</v>
      </c>
      <c r="E8" s="36">
        <f t="shared" si="5"/>
        <v>12</v>
      </c>
      <c r="F8" s="36">
        <f t="shared" si="5"/>
        <v>13</v>
      </c>
      <c r="G8" s="36">
        <f t="shared" si="5"/>
        <v>14</v>
      </c>
      <c r="H8" s="36">
        <f t="shared" si="5"/>
        <v>15</v>
      </c>
      <c r="I8" s="36">
        <f t="shared" si="5"/>
        <v>16</v>
      </c>
      <c r="J8" s="36">
        <f t="shared" si="5"/>
        <v>17</v>
      </c>
      <c r="K8" s="36">
        <f t="shared" si="5"/>
        <v>18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26" t="s">
        <v>69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26" t="s">
        <v>453</v>
      </c>
      <c r="B11" s="294">
        <v>63100</v>
      </c>
      <c r="C11" s="297">
        <f>ROUND(B11*1.05,-1)</f>
        <v>66260</v>
      </c>
      <c r="D11" s="297">
        <f t="shared" ref="D11:K11" si="6">ROUND(C11*1.05,-1)</f>
        <v>69570</v>
      </c>
      <c r="E11" s="297">
        <f t="shared" si="6"/>
        <v>73050</v>
      </c>
      <c r="F11" s="297">
        <f t="shared" si="6"/>
        <v>76700</v>
      </c>
      <c r="G11" s="297">
        <f t="shared" si="6"/>
        <v>80540</v>
      </c>
      <c r="H11" s="297">
        <f t="shared" si="6"/>
        <v>84570</v>
      </c>
      <c r="I11" s="297">
        <f t="shared" si="6"/>
        <v>88800</v>
      </c>
      <c r="J11" s="297">
        <f t="shared" si="6"/>
        <v>93240</v>
      </c>
      <c r="K11" s="297">
        <f t="shared" si="6"/>
        <v>97900</v>
      </c>
    </row>
    <row r="12" spans="1:11" s="40" customFormat="1" ht="30" hidden="1" x14ac:dyDescent="0.25">
      <c r="A12" s="186" t="s">
        <v>452</v>
      </c>
      <c r="B12" s="35">
        <f>B11</f>
        <v>63100</v>
      </c>
      <c r="C12" s="35">
        <f t="shared" ref="C12:H12" si="7">C11</f>
        <v>66260</v>
      </c>
      <c r="D12" s="35">
        <f t="shared" si="7"/>
        <v>69570</v>
      </c>
      <c r="E12" s="35">
        <f t="shared" si="7"/>
        <v>73050</v>
      </c>
      <c r="F12" s="35">
        <f t="shared" si="7"/>
        <v>76700</v>
      </c>
      <c r="G12" s="35">
        <f t="shared" si="7"/>
        <v>80540</v>
      </c>
      <c r="H12" s="35">
        <f t="shared" si="7"/>
        <v>84570</v>
      </c>
      <c r="I12" s="35">
        <f t="shared" ref="I12" si="8">I11</f>
        <v>88800</v>
      </c>
      <c r="J12" s="35">
        <f t="shared" ref="J12" si="9">J11</f>
        <v>93240</v>
      </c>
      <c r="K12" s="35">
        <f t="shared" ref="K12" si="10">K11</f>
        <v>97900</v>
      </c>
    </row>
    <row r="13" spans="1:11" hidden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8" t="s">
        <v>691</v>
      </c>
      <c r="B15" s="319">
        <f>+B5*B11/100000</f>
        <v>0</v>
      </c>
      <c r="C15" s="11">
        <f>+B16</f>
        <v>5.6790000000000003</v>
      </c>
      <c r="D15" s="11">
        <f t="shared" ref="D15:K15" si="11">+C16</f>
        <v>6.6260000000000003</v>
      </c>
      <c r="E15" s="11">
        <f t="shared" si="11"/>
        <v>7.6527000000000003</v>
      </c>
      <c r="F15" s="11">
        <f t="shared" si="11"/>
        <v>8.766</v>
      </c>
      <c r="G15" s="11">
        <f t="shared" si="11"/>
        <v>9.9710000000000001</v>
      </c>
      <c r="H15" s="11">
        <f t="shared" si="11"/>
        <v>11.275600000000001</v>
      </c>
      <c r="I15" s="11">
        <f t="shared" si="11"/>
        <v>12.685499999999999</v>
      </c>
      <c r="J15" s="11">
        <f t="shared" si="11"/>
        <v>14.208</v>
      </c>
      <c r="K15" s="11">
        <f t="shared" si="11"/>
        <v>15.8508</v>
      </c>
    </row>
    <row r="16" spans="1:11" x14ac:dyDescent="0.25">
      <c r="A16" s="8" t="s">
        <v>692</v>
      </c>
      <c r="B16" s="11">
        <f>+B8*B11/100000</f>
        <v>5.6790000000000003</v>
      </c>
      <c r="C16" s="11">
        <f>+C8*C11/100000</f>
        <v>6.6260000000000003</v>
      </c>
      <c r="D16" s="11">
        <f t="shared" ref="D16:K16" si="12">+D8*D11/100000</f>
        <v>7.6527000000000003</v>
      </c>
      <c r="E16" s="11">
        <f t="shared" si="12"/>
        <v>8.766</v>
      </c>
      <c r="F16" s="11">
        <f t="shared" si="12"/>
        <v>9.9710000000000001</v>
      </c>
      <c r="G16" s="11">
        <f t="shared" si="12"/>
        <v>11.275600000000001</v>
      </c>
      <c r="H16" s="11">
        <f t="shared" si="12"/>
        <v>12.685499999999999</v>
      </c>
      <c r="I16" s="11">
        <f t="shared" si="12"/>
        <v>14.208</v>
      </c>
      <c r="J16" s="11">
        <f t="shared" si="12"/>
        <v>15.8508</v>
      </c>
      <c r="K16" s="11">
        <f t="shared" si="12"/>
        <v>17.622</v>
      </c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6" t="s">
        <v>728</v>
      </c>
      <c r="B18" s="36"/>
      <c r="C18" s="36"/>
      <c r="D18" s="36"/>
      <c r="E18" s="36"/>
      <c r="F18" s="36"/>
      <c r="G18" s="6"/>
      <c r="H18" s="6"/>
      <c r="I18" s="6"/>
      <c r="J18" s="6"/>
      <c r="K18" s="6"/>
    </row>
    <row r="19" spans="1:11" x14ac:dyDescent="0.25">
      <c r="A19" s="36" t="s">
        <v>65</v>
      </c>
      <c r="B19" s="36">
        <v>0</v>
      </c>
      <c r="C19" s="36">
        <f>B22</f>
        <v>6</v>
      </c>
      <c r="D19" s="36">
        <f>C22</f>
        <v>7</v>
      </c>
      <c r="E19" s="36">
        <f>D22</f>
        <v>8</v>
      </c>
      <c r="F19" s="36">
        <f>E22</f>
        <v>8</v>
      </c>
      <c r="G19" s="36">
        <f t="shared" ref="G19" si="13">F22</f>
        <v>9</v>
      </c>
      <c r="H19" s="36">
        <f t="shared" ref="H19" si="14">G22</f>
        <v>9</v>
      </c>
      <c r="I19" s="36">
        <f t="shared" ref="I19" si="15">H22</f>
        <v>10</v>
      </c>
      <c r="J19" s="36">
        <f t="shared" ref="J19" si="16">I22</f>
        <v>11</v>
      </c>
      <c r="K19" s="36">
        <f t="shared" ref="K19" si="17">J22</f>
        <v>11</v>
      </c>
    </row>
    <row r="20" spans="1:11" x14ac:dyDescent="0.25">
      <c r="A20" s="36" t="s">
        <v>66</v>
      </c>
      <c r="B20" s="37">
        <f>SUM(B21:B22)-B19</f>
        <v>156</v>
      </c>
      <c r="C20" s="37">
        <f>SUM(C21:C22)-C19</f>
        <v>166</v>
      </c>
      <c r="D20" s="37">
        <f t="shared" ref="D20:K20" si="18">SUM(D21:D22)-D19</f>
        <v>181</v>
      </c>
      <c r="E20" s="37">
        <f t="shared" si="18"/>
        <v>195</v>
      </c>
      <c r="F20" s="37">
        <f t="shared" si="18"/>
        <v>211</v>
      </c>
      <c r="G20" s="37">
        <f t="shared" si="18"/>
        <v>225</v>
      </c>
      <c r="H20" s="37">
        <f t="shared" si="18"/>
        <v>241</v>
      </c>
      <c r="I20" s="37">
        <f t="shared" si="18"/>
        <v>256</v>
      </c>
      <c r="J20" s="37">
        <f t="shared" si="18"/>
        <v>270</v>
      </c>
      <c r="K20" s="37">
        <f t="shared" si="18"/>
        <v>286</v>
      </c>
    </row>
    <row r="21" spans="1:11" x14ac:dyDescent="0.25">
      <c r="A21" s="36" t="s">
        <v>67</v>
      </c>
      <c r="B21" s="37">
        <f>+'Output Schedule'!B18</f>
        <v>150</v>
      </c>
      <c r="C21" s="37">
        <f>+'Output Schedule'!C18</f>
        <v>165</v>
      </c>
      <c r="D21" s="37">
        <f>+'Output Schedule'!D18</f>
        <v>180</v>
      </c>
      <c r="E21" s="37">
        <f>+'Output Schedule'!E18</f>
        <v>195</v>
      </c>
      <c r="F21" s="37">
        <f>+'Output Schedule'!F18</f>
        <v>210</v>
      </c>
      <c r="G21" s="37">
        <f>+'Output Schedule'!G18</f>
        <v>225</v>
      </c>
      <c r="H21" s="37">
        <f>+'Output Schedule'!H18</f>
        <v>240</v>
      </c>
      <c r="I21" s="37">
        <f>+'Output Schedule'!I18</f>
        <v>255</v>
      </c>
      <c r="J21" s="37">
        <f>+'Output Schedule'!J18</f>
        <v>270</v>
      </c>
      <c r="K21" s="37">
        <f>+'Output Schedule'!K18</f>
        <v>285</v>
      </c>
    </row>
    <row r="22" spans="1:11" x14ac:dyDescent="0.25">
      <c r="A22" s="36" t="s">
        <v>68</v>
      </c>
      <c r="B22" s="36">
        <f>ROUND(B21/24,0)</f>
        <v>6</v>
      </c>
      <c r="C22" s="36">
        <f t="shared" ref="C22:K22" si="19">ROUND(C21/24,0)</f>
        <v>7</v>
      </c>
      <c r="D22" s="36">
        <f t="shared" si="19"/>
        <v>8</v>
      </c>
      <c r="E22" s="36">
        <f t="shared" si="19"/>
        <v>8</v>
      </c>
      <c r="F22" s="36">
        <f t="shared" si="19"/>
        <v>9</v>
      </c>
      <c r="G22" s="36">
        <f t="shared" si="19"/>
        <v>9</v>
      </c>
      <c r="H22" s="36">
        <f t="shared" si="19"/>
        <v>10</v>
      </c>
      <c r="I22" s="36">
        <f t="shared" si="19"/>
        <v>11</v>
      </c>
      <c r="J22" s="36">
        <f t="shared" si="19"/>
        <v>11</v>
      </c>
      <c r="K22" s="36">
        <f t="shared" si="19"/>
        <v>12</v>
      </c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26" t="s">
        <v>69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26" t="s">
        <v>453</v>
      </c>
      <c r="B25" s="294">
        <v>51100</v>
      </c>
      <c r="C25" s="297">
        <f>ROUND(B25*1.05,-1)</f>
        <v>53660</v>
      </c>
      <c r="D25" s="297">
        <f t="shared" ref="D25" si="20">ROUND(C25*1.05,-1)</f>
        <v>56340</v>
      </c>
      <c r="E25" s="297">
        <f t="shared" ref="E25" si="21">ROUND(D25*1.05,-1)</f>
        <v>59160</v>
      </c>
      <c r="F25" s="297">
        <f t="shared" ref="F25" si="22">ROUND(E25*1.05,-1)</f>
        <v>62120</v>
      </c>
      <c r="G25" s="297">
        <f t="shared" ref="G25" si="23">ROUND(F25*1.05,-1)</f>
        <v>65230</v>
      </c>
      <c r="H25" s="297">
        <f t="shared" ref="H25" si="24">ROUND(G25*1.05,-1)</f>
        <v>68490</v>
      </c>
      <c r="I25" s="297">
        <f t="shared" ref="I25" si="25">ROUND(H25*1.05,-1)</f>
        <v>71910</v>
      </c>
      <c r="J25" s="297">
        <f t="shared" ref="J25" si="26">ROUND(I25*1.05,-1)</f>
        <v>75510</v>
      </c>
      <c r="K25" s="297">
        <f t="shared" ref="K25" si="27">ROUND(J25*1.05,-1)</f>
        <v>79290</v>
      </c>
    </row>
    <row r="26" spans="1:11" x14ac:dyDescent="0.25">
      <c r="A26" s="26"/>
      <c r="B26" s="294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x14ac:dyDescent="0.25">
      <c r="A27" s="8" t="s">
        <v>691</v>
      </c>
      <c r="B27" s="319">
        <f>+B19*B25/100000</f>
        <v>0</v>
      </c>
      <c r="C27" s="11">
        <f>+B28</f>
        <v>3.0659999999999998</v>
      </c>
      <c r="D27" s="11">
        <f t="shared" ref="D27:K27" si="28">+C28</f>
        <v>3.7562000000000002</v>
      </c>
      <c r="E27" s="11">
        <f t="shared" si="28"/>
        <v>4.5072000000000001</v>
      </c>
      <c r="F27" s="11">
        <f t="shared" si="28"/>
        <v>4.7328000000000001</v>
      </c>
      <c r="G27" s="11">
        <f t="shared" si="28"/>
        <v>5.5907999999999998</v>
      </c>
      <c r="H27" s="11">
        <f t="shared" si="28"/>
        <v>5.8707000000000003</v>
      </c>
      <c r="I27" s="11">
        <f t="shared" si="28"/>
        <v>6.8490000000000002</v>
      </c>
      <c r="J27" s="11">
        <f t="shared" si="28"/>
        <v>7.9100999999999999</v>
      </c>
      <c r="K27" s="11">
        <f t="shared" si="28"/>
        <v>8.3061000000000007</v>
      </c>
    </row>
    <row r="28" spans="1:11" x14ac:dyDescent="0.25">
      <c r="A28" s="8" t="s">
        <v>692</v>
      </c>
      <c r="B28" s="11">
        <f>+B22*B25/100000</f>
        <v>3.0659999999999998</v>
      </c>
      <c r="C28" s="11">
        <f>+C22*C25/100000</f>
        <v>3.7562000000000002</v>
      </c>
      <c r="D28" s="11">
        <f t="shared" ref="D28:K28" si="29">+D22*D25/100000</f>
        <v>4.5072000000000001</v>
      </c>
      <c r="E28" s="11">
        <f t="shared" si="29"/>
        <v>4.7328000000000001</v>
      </c>
      <c r="F28" s="11">
        <f t="shared" si="29"/>
        <v>5.5907999999999998</v>
      </c>
      <c r="G28" s="11">
        <f t="shared" si="29"/>
        <v>5.8707000000000003</v>
      </c>
      <c r="H28" s="11">
        <f t="shared" si="29"/>
        <v>6.8490000000000002</v>
      </c>
      <c r="I28" s="11">
        <f t="shared" si="29"/>
        <v>7.9100999999999999</v>
      </c>
      <c r="J28" s="11">
        <f t="shared" si="29"/>
        <v>8.3061000000000007</v>
      </c>
      <c r="K28" s="11">
        <f t="shared" si="29"/>
        <v>9.5147999999999993</v>
      </c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26" t="s">
        <v>70</v>
      </c>
      <c r="B30" s="41">
        <f>+B15+B27</f>
        <v>0</v>
      </c>
      <c r="C30" s="41">
        <f>B31</f>
        <v>8.745000000000001</v>
      </c>
      <c r="D30" s="41">
        <f>C31</f>
        <v>10.382200000000001</v>
      </c>
      <c r="E30" s="41">
        <f t="shared" ref="E30:H30" si="30">D31</f>
        <v>12.1599</v>
      </c>
      <c r="F30" s="41">
        <f t="shared" si="30"/>
        <v>13.498799999999999</v>
      </c>
      <c r="G30" s="41">
        <f t="shared" si="30"/>
        <v>15.5618</v>
      </c>
      <c r="H30" s="41">
        <f t="shared" si="30"/>
        <v>17.1463</v>
      </c>
      <c r="I30" s="41">
        <f t="shared" ref="I30" si="31">H31</f>
        <v>19.534500000000001</v>
      </c>
      <c r="J30" s="41">
        <f t="shared" ref="J30" si="32">I31</f>
        <v>22.118099999999998</v>
      </c>
      <c r="K30" s="41">
        <f t="shared" ref="K30" si="33">J31</f>
        <v>24.1569</v>
      </c>
    </row>
    <row r="31" spans="1:11" x14ac:dyDescent="0.25">
      <c r="A31" s="26" t="s">
        <v>71</v>
      </c>
      <c r="B31" s="41">
        <f>+B16+B28</f>
        <v>8.745000000000001</v>
      </c>
      <c r="C31" s="41">
        <f t="shared" ref="C31:K31" si="34">+C16+C28</f>
        <v>10.382200000000001</v>
      </c>
      <c r="D31" s="41">
        <f t="shared" si="34"/>
        <v>12.1599</v>
      </c>
      <c r="E31" s="41">
        <f t="shared" si="34"/>
        <v>13.498799999999999</v>
      </c>
      <c r="F31" s="41">
        <f t="shared" si="34"/>
        <v>15.5618</v>
      </c>
      <c r="G31" s="41">
        <f t="shared" si="34"/>
        <v>17.1463</v>
      </c>
      <c r="H31" s="41">
        <f t="shared" si="34"/>
        <v>19.534500000000001</v>
      </c>
      <c r="I31" s="41">
        <f t="shared" si="34"/>
        <v>22.118099999999998</v>
      </c>
      <c r="J31" s="41">
        <f t="shared" si="34"/>
        <v>24.1569</v>
      </c>
      <c r="K31" s="41">
        <f t="shared" si="34"/>
        <v>27.136800000000001</v>
      </c>
    </row>
    <row r="33" spans="3:8" x14ac:dyDescent="0.25">
      <c r="C33" s="25"/>
      <c r="D33" s="25"/>
      <c r="E33" s="25"/>
      <c r="F33" s="25"/>
      <c r="G33" s="25"/>
      <c r="H33" s="25"/>
    </row>
  </sheetData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31.5703125" customWidth="1"/>
    <col min="2" max="11" width="10.7109375" customWidth="1"/>
  </cols>
  <sheetData>
    <row r="1" spans="1:11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221" t="s">
        <v>42</v>
      </c>
      <c r="I1" s="221" t="s">
        <v>495</v>
      </c>
      <c r="J1" s="221" t="s">
        <v>496</v>
      </c>
      <c r="K1" s="221" t="s">
        <v>497</v>
      </c>
    </row>
    <row r="2" spans="1:11" x14ac:dyDescent="0.25">
      <c r="A2" s="26"/>
      <c r="B2" s="27"/>
      <c r="C2" s="27"/>
      <c r="D2" s="27"/>
      <c r="E2" s="27"/>
      <c r="F2" s="27"/>
      <c r="G2" s="27"/>
      <c r="H2" s="219"/>
      <c r="I2" s="18"/>
      <c r="J2" s="18"/>
      <c r="K2" s="18"/>
    </row>
    <row r="3" spans="1:11" x14ac:dyDescent="0.25">
      <c r="A3" s="36" t="s">
        <v>727</v>
      </c>
      <c r="B3" s="36">
        <f>ROUND('CS-RM'!B6,0)</f>
        <v>234</v>
      </c>
      <c r="C3" s="36">
        <f>ROUND('CS-RM'!C6,0)</f>
        <v>249</v>
      </c>
      <c r="D3" s="36">
        <f>ROUND('CS-RM'!D6,0)</f>
        <v>271</v>
      </c>
      <c r="E3" s="36">
        <f>ROUND('CS-RM'!E6,0)</f>
        <v>294</v>
      </c>
      <c r="F3" s="36">
        <f>ROUND('CS-RM'!F6,0)</f>
        <v>316</v>
      </c>
      <c r="G3" s="36">
        <f>ROUND('CS-RM'!G6,0)</f>
        <v>339</v>
      </c>
      <c r="H3" s="36">
        <f>ROUND('CS-RM'!H6,0)</f>
        <v>361</v>
      </c>
      <c r="I3" s="36">
        <f>ROUND('CS-RM'!I6,0)</f>
        <v>384</v>
      </c>
      <c r="J3" s="36">
        <f>ROUND('CS-RM'!J6,0)</f>
        <v>406</v>
      </c>
      <c r="K3" s="36">
        <f>ROUND('CS-RM'!K6,0)</f>
        <v>429</v>
      </c>
    </row>
    <row r="4" spans="1:11" x14ac:dyDescent="0.25">
      <c r="A4" s="36" t="s">
        <v>593</v>
      </c>
      <c r="B4" s="42">
        <f>'CS-RM'!B12</f>
        <v>63100</v>
      </c>
      <c r="C4" s="42">
        <f>'CS-RM'!C12</f>
        <v>66260</v>
      </c>
      <c r="D4" s="42">
        <f>'CS-RM'!D12</f>
        <v>69570</v>
      </c>
      <c r="E4" s="42">
        <f>'CS-RM'!E12</f>
        <v>73050</v>
      </c>
      <c r="F4" s="42">
        <f>'CS-RM'!F12</f>
        <v>76700</v>
      </c>
      <c r="G4" s="42">
        <f>'CS-RM'!G12</f>
        <v>80540</v>
      </c>
      <c r="H4" s="42">
        <f>'CS-RM'!H12</f>
        <v>84570</v>
      </c>
      <c r="I4" s="42">
        <f>'CS-RM'!I12</f>
        <v>88800</v>
      </c>
      <c r="J4" s="42">
        <f>'CS-RM'!J12</f>
        <v>93240</v>
      </c>
      <c r="K4" s="42">
        <f>'CS-RM'!K12</f>
        <v>97900</v>
      </c>
    </row>
    <row r="5" spans="1:11" x14ac:dyDescent="0.25">
      <c r="A5" s="36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x14ac:dyDescent="0.25">
      <c r="A6" s="36" t="s">
        <v>728</v>
      </c>
      <c r="B6" s="37">
        <f>+'CS-RM'!B20</f>
        <v>156</v>
      </c>
      <c r="C6" s="37">
        <f>+'CS-RM'!C20</f>
        <v>166</v>
      </c>
      <c r="D6" s="37">
        <f>+'CS-RM'!D20</f>
        <v>181</v>
      </c>
      <c r="E6" s="37">
        <f>+'CS-RM'!E20</f>
        <v>195</v>
      </c>
      <c r="F6" s="37">
        <f>+'CS-RM'!F20</f>
        <v>211</v>
      </c>
      <c r="G6" s="37">
        <f>+'CS-RM'!G20</f>
        <v>225</v>
      </c>
      <c r="H6" s="37">
        <f>+'CS-RM'!H20</f>
        <v>241</v>
      </c>
      <c r="I6" s="37">
        <f>+'CS-RM'!I20</f>
        <v>256</v>
      </c>
      <c r="J6" s="37">
        <f>+'CS-RM'!J20</f>
        <v>270</v>
      </c>
      <c r="K6" s="37">
        <f>+'CS-RM'!K20</f>
        <v>286</v>
      </c>
    </row>
    <row r="7" spans="1:11" x14ac:dyDescent="0.25">
      <c r="A7" s="36" t="s">
        <v>593</v>
      </c>
      <c r="B7" s="42">
        <f>+'CS-RM'!B25</f>
        <v>51100</v>
      </c>
      <c r="C7" s="42">
        <f>+'CS-RM'!C25</f>
        <v>53660</v>
      </c>
      <c r="D7" s="42">
        <f>+'CS-RM'!D25</f>
        <v>56340</v>
      </c>
      <c r="E7" s="42">
        <f>+'CS-RM'!E25</f>
        <v>59160</v>
      </c>
      <c r="F7" s="42">
        <f>+'CS-RM'!F25</f>
        <v>62120</v>
      </c>
      <c r="G7" s="42">
        <f>+'CS-RM'!G25</f>
        <v>65230</v>
      </c>
      <c r="H7" s="42">
        <f>+'CS-RM'!H25</f>
        <v>68490</v>
      </c>
      <c r="I7" s="42">
        <f>+'CS-RM'!I25</f>
        <v>71910</v>
      </c>
      <c r="J7" s="42">
        <f>+'CS-RM'!J25</f>
        <v>75510</v>
      </c>
      <c r="K7" s="42">
        <f>+'CS-RM'!K25</f>
        <v>79290</v>
      </c>
    </row>
    <row r="8" spans="1:11" x14ac:dyDescent="0.25">
      <c r="A8" s="36"/>
      <c r="B8" s="42"/>
      <c r="C8" s="42"/>
      <c r="D8" s="42"/>
      <c r="E8" s="42"/>
      <c r="F8" s="42"/>
      <c r="G8" s="18"/>
      <c r="H8" s="18"/>
      <c r="I8" s="18"/>
      <c r="J8" s="18"/>
      <c r="K8" s="18"/>
    </row>
    <row r="9" spans="1:11" x14ac:dyDescent="0.25">
      <c r="A9" s="26" t="s">
        <v>75</v>
      </c>
      <c r="B9" s="41">
        <f>((B3*B4)+(B6*B7))/100000</f>
        <v>227.37</v>
      </c>
      <c r="C9" s="41">
        <f t="shared" ref="C9:K9" si="0">((C3*C4)+(C6*C7))/100000</f>
        <v>254.06299999999999</v>
      </c>
      <c r="D9" s="41">
        <f t="shared" si="0"/>
        <v>290.51010000000002</v>
      </c>
      <c r="E9" s="41">
        <f t="shared" si="0"/>
        <v>330.12900000000002</v>
      </c>
      <c r="F9" s="41">
        <f t="shared" si="0"/>
        <v>373.4452</v>
      </c>
      <c r="G9" s="41">
        <f t="shared" si="0"/>
        <v>419.79809999999998</v>
      </c>
      <c r="H9" s="41">
        <f t="shared" si="0"/>
        <v>470.35860000000002</v>
      </c>
      <c r="I9" s="41">
        <f t="shared" si="0"/>
        <v>525.08159999999998</v>
      </c>
      <c r="J9" s="41">
        <f t="shared" si="0"/>
        <v>582.43140000000005</v>
      </c>
      <c r="K9" s="41">
        <f t="shared" si="0"/>
        <v>646.7604</v>
      </c>
    </row>
    <row r="11" spans="1:11" hidden="1" x14ac:dyDescent="0.25">
      <c r="B11" s="24">
        <f>B3*'CS-RM'!B11/100000</f>
        <v>147.654</v>
      </c>
      <c r="C11" s="24">
        <f>C3*'CS-RM'!C11/100000</f>
        <v>164.98740000000001</v>
      </c>
      <c r="D11" s="24">
        <f>D3*'CS-RM'!D11/100000</f>
        <v>188.53469999999999</v>
      </c>
      <c r="E11" s="24">
        <f>E3*'CS-RM'!E11/100000</f>
        <v>214.767</v>
      </c>
      <c r="F11" s="24">
        <f>F3*'CS-RM'!F11/100000</f>
        <v>242.37200000000001</v>
      </c>
      <c r="G11" s="24">
        <f>G3*'CS-RM'!G11/100000</f>
        <v>273.03059999999999</v>
      </c>
      <c r="H11" s="24">
        <f>H3*'CS-RM'!H11/100000</f>
        <v>305.29770000000002</v>
      </c>
    </row>
    <row r="12" spans="1:11" hidden="1" x14ac:dyDescent="0.25"/>
    <row r="13" spans="1:11" hidden="1" x14ac:dyDescent="0.25">
      <c r="B13" s="24">
        <f>B11-B9</f>
        <v>-79.716000000000008</v>
      </c>
      <c r="C13" s="24">
        <f t="shared" ref="C13:H13" si="1">C11-C9</f>
        <v>-89.07559999999998</v>
      </c>
      <c r="D13" s="24">
        <f t="shared" si="1"/>
        <v>-101.97540000000004</v>
      </c>
      <c r="E13" s="24">
        <f t="shared" si="1"/>
        <v>-115.36200000000002</v>
      </c>
      <c r="F13" s="24">
        <f t="shared" si="1"/>
        <v>-131.07319999999999</v>
      </c>
      <c r="G13" s="24">
        <f t="shared" si="1"/>
        <v>-146.76749999999998</v>
      </c>
      <c r="H13" s="24">
        <f t="shared" si="1"/>
        <v>-165.0609</v>
      </c>
    </row>
    <row r="14" spans="1:11" hidden="1" x14ac:dyDescent="0.25"/>
    <row r="15" spans="1:11" hidden="1" x14ac:dyDescent="0.25">
      <c r="B15" s="24">
        <f>'Production Level Support'!B3</f>
        <v>0</v>
      </c>
      <c r="C15" s="24">
        <f>'Production Level Support'!C3</f>
        <v>0</v>
      </c>
      <c r="D15" s="24">
        <f>'Production Level Support'!D3</f>
        <v>0</v>
      </c>
      <c r="E15" s="24">
        <f>'Production Level Support'!E3</f>
        <v>0</v>
      </c>
      <c r="F15" s="24">
        <f>'Production Level Support'!F3</f>
        <v>0</v>
      </c>
      <c r="G15" s="24">
        <f>'Production Level Support'!G3</f>
        <v>0</v>
      </c>
      <c r="H15" s="24">
        <f>'Production Level Support'!H3</f>
        <v>0</v>
      </c>
    </row>
    <row r="16" spans="1:11" hidden="1" x14ac:dyDescent="0.25"/>
    <row r="17" spans="2:8" hidden="1" x14ac:dyDescent="0.25">
      <c r="B17" s="24">
        <f>B13-B15</f>
        <v>-79.716000000000008</v>
      </c>
      <c r="C17" s="24">
        <f t="shared" ref="C17:H17" si="2">C13-C15</f>
        <v>-89.07559999999998</v>
      </c>
      <c r="D17" s="24">
        <f t="shared" si="2"/>
        <v>-101.97540000000004</v>
      </c>
      <c r="E17" s="24">
        <f t="shared" si="2"/>
        <v>-115.36200000000002</v>
      </c>
      <c r="F17" s="24">
        <f t="shared" si="2"/>
        <v>-131.07319999999999</v>
      </c>
      <c r="G17" s="24">
        <f t="shared" si="2"/>
        <v>-146.76749999999998</v>
      </c>
      <c r="H17" s="24">
        <f t="shared" si="2"/>
        <v>-165.0609</v>
      </c>
    </row>
    <row r="18" spans="2:8" hidden="1" x14ac:dyDescent="0.25"/>
    <row r="20" spans="2:8" x14ac:dyDescent="0.25">
      <c r="B20" s="2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5"/>
  <sheetViews>
    <sheetView view="pageBreakPreview" topLeftCell="A7" zoomScaleNormal="100" zoomScaleSheetLayoutView="100" workbookViewId="0">
      <selection activeCell="C93" sqref="C93"/>
    </sheetView>
  </sheetViews>
  <sheetFormatPr defaultColWidth="9.140625" defaultRowHeight="15" x14ac:dyDescent="0.25"/>
  <cols>
    <col min="1" max="1" width="4" style="1" bestFit="1" customWidth="1"/>
    <col min="2" max="2" width="19.140625" style="1" customWidth="1"/>
    <col min="3" max="12" width="11.42578125" style="1" customWidth="1"/>
    <col min="13" max="16384" width="9.140625" style="1"/>
  </cols>
  <sheetData>
    <row r="2" spans="1:12" x14ac:dyDescent="0.25">
      <c r="A2" s="46" t="s">
        <v>76</v>
      </c>
      <c r="B2" s="15" t="s">
        <v>1</v>
      </c>
      <c r="C2" s="39" t="s">
        <v>36</v>
      </c>
      <c r="D2" s="39" t="s">
        <v>37</v>
      </c>
      <c r="E2" s="39" t="s">
        <v>38</v>
      </c>
      <c r="F2" s="39" t="s">
        <v>39</v>
      </c>
      <c r="G2" s="39" t="s">
        <v>40</v>
      </c>
      <c r="H2" s="39" t="s">
        <v>41</v>
      </c>
      <c r="I2" s="221" t="s">
        <v>42</v>
      </c>
      <c r="J2" s="221" t="s">
        <v>495</v>
      </c>
      <c r="K2" s="221" t="s">
        <v>496</v>
      </c>
      <c r="L2" s="221" t="s">
        <v>497</v>
      </c>
    </row>
    <row r="3" spans="1:12" x14ac:dyDescent="0.25">
      <c r="A3" s="43"/>
      <c r="B3" s="26" t="s">
        <v>693</v>
      </c>
      <c r="C3" s="27"/>
      <c r="D3" s="27"/>
      <c r="E3" s="27"/>
      <c r="F3" s="27"/>
      <c r="G3" s="27"/>
      <c r="H3" s="27"/>
      <c r="I3" s="219"/>
      <c r="J3" s="6"/>
      <c r="K3" s="6"/>
      <c r="L3" s="6"/>
    </row>
    <row r="4" spans="1:12" x14ac:dyDescent="0.25">
      <c r="A4" s="7" t="s">
        <v>77</v>
      </c>
      <c r="B4" s="26" t="str">
        <f>'Output Schedule'!A27</f>
        <v>Tur Dall</v>
      </c>
      <c r="C4" s="36"/>
      <c r="D4" s="36"/>
      <c r="E4" s="36"/>
      <c r="F4" s="36"/>
      <c r="G4" s="36"/>
      <c r="H4" s="6"/>
      <c r="I4" s="6"/>
      <c r="J4" s="6"/>
      <c r="K4" s="6"/>
      <c r="L4" s="6"/>
    </row>
    <row r="5" spans="1:12" x14ac:dyDescent="0.25">
      <c r="A5" s="43"/>
      <c r="B5" s="36" t="s">
        <v>78</v>
      </c>
      <c r="C5" s="36">
        <f>0</f>
        <v>0</v>
      </c>
      <c r="D5" s="36">
        <f>C8</f>
        <v>7</v>
      </c>
      <c r="E5" s="36">
        <f>D8</f>
        <v>8</v>
      </c>
      <c r="F5" s="36">
        <f>E8</f>
        <v>9</v>
      </c>
      <c r="G5" s="36">
        <f>F8</f>
        <v>9</v>
      </c>
      <c r="H5" s="36">
        <f t="shared" ref="H5:I5" si="0">G8</f>
        <v>10</v>
      </c>
      <c r="I5" s="36">
        <f t="shared" si="0"/>
        <v>11</v>
      </c>
      <c r="J5" s="36">
        <f t="shared" ref="J5" si="1">I8</f>
        <v>11</v>
      </c>
      <c r="K5" s="36">
        <f t="shared" ref="K5" si="2">J8</f>
        <v>12</v>
      </c>
      <c r="L5" s="36">
        <f t="shared" ref="L5" si="3">K8</f>
        <v>13</v>
      </c>
    </row>
    <row r="6" spans="1:12" x14ac:dyDescent="0.25">
      <c r="A6" s="43"/>
      <c r="B6" s="36" t="s">
        <v>79</v>
      </c>
      <c r="C6" s="37">
        <f>'Output Schedule'!B27</f>
        <v>164</v>
      </c>
      <c r="D6" s="37">
        <f>'Output Schedule'!C27</f>
        <v>181</v>
      </c>
      <c r="E6" s="37">
        <f>'Output Schedule'!D27</f>
        <v>197</v>
      </c>
      <c r="F6" s="37">
        <f>'Output Schedule'!E27</f>
        <v>214</v>
      </c>
      <c r="G6" s="37">
        <f>'Output Schedule'!F27</f>
        <v>230</v>
      </c>
      <c r="H6" s="37">
        <f>'Output Schedule'!G27</f>
        <v>246</v>
      </c>
      <c r="I6" s="37">
        <f>'Output Schedule'!H27</f>
        <v>263</v>
      </c>
      <c r="J6" s="37">
        <f>'Output Schedule'!I27</f>
        <v>279</v>
      </c>
      <c r="K6" s="37">
        <f>'Output Schedule'!J27</f>
        <v>296</v>
      </c>
      <c r="L6" s="37">
        <f>'Output Schedule'!K27</f>
        <v>312</v>
      </c>
    </row>
    <row r="7" spans="1:12" x14ac:dyDescent="0.25">
      <c r="A7" s="43"/>
      <c r="B7" s="36" t="s">
        <v>80</v>
      </c>
      <c r="C7" s="36">
        <f>C5+C6-C8</f>
        <v>157</v>
      </c>
      <c r="D7" s="36">
        <f>D5+D6-D8</f>
        <v>180</v>
      </c>
      <c r="E7" s="36">
        <f>E5+E6-E8</f>
        <v>196</v>
      </c>
      <c r="F7" s="36">
        <f>F5+F6-F8</f>
        <v>214</v>
      </c>
      <c r="G7" s="36">
        <f>G5+G6-G8</f>
        <v>229</v>
      </c>
      <c r="H7" s="36">
        <f t="shared" ref="H7:I7" si="4">H5+H6-H8</f>
        <v>245</v>
      </c>
      <c r="I7" s="36">
        <f t="shared" si="4"/>
        <v>263</v>
      </c>
      <c r="J7" s="36">
        <f t="shared" ref="J7:L7" si="5">J5+J6-J8</f>
        <v>278</v>
      </c>
      <c r="K7" s="36">
        <f t="shared" si="5"/>
        <v>295</v>
      </c>
      <c r="L7" s="36">
        <f t="shared" si="5"/>
        <v>311</v>
      </c>
    </row>
    <row r="8" spans="1:12" x14ac:dyDescent="0.25">
      <c r="A8" s="43"/>
      <c r="B8" s="36" t="s">
        <v>81</v>
      </c>
      <c r="C8" s="36">
        <f>ROUND((C6+C5)/24,0)</f>
        <v>7</v>
      </c>
      <c r="D8" s="36">
        <f t="shared" ref="D8:L8" si="6">ROUND((D6+D5)/24,0)</f>
        <v>8</v>
      </c>
      <c r="E8" s="36">
        <f t="shared" si="6"/>
        <v>9</v>
      </c>
      <c r="F8" s="36">
        <f t="shared" si="6"/>
        <v>9</v>
      </c>
      <c r="G8" s="36">
        <f t="shared" si="6"/>
        <v>10</v>
      </c>
      <c r="H8" s="36">
        <f t="shared" si="6"/>
        <v>11</v>
      </c>
      <c r="I8" s="36">
        <f t="shared" si="6"/>
        <v>11</v>
      </c>
      <c r="J8" s="36">
        <f t="shared" si="6"/>
        <v>12</v>
      </c>
      <c r="K8" s="36">
        <f t="shared" si="6"/>
        <v>13</v>
      </c>
      <c r="L8" s="36">
        <f t="shared" si="6"/>
        <v>14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3" customFormat="1" x14ac:dyDescent="0.25">
      <c r="A10" s="7" t="s">
        <v>82</v>
      </c>
      <c r="B10" s="8" t="str">
        <f>+'Output Schedule'!A28</f>
        <v>Cattle Feed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6"/>
      <c r="B11" s="36" t="s">
        <v>78</v>
      </c>
      <c r="C11" s="36">
        <f>0</f>
        <v>0</v>
      </c>
      <c r="D11" s="36">
        <f>C14</f>
        <v>2</v>
      </c>
      <c r="E11" s="36">
        <f>D14</f>
        <v>3</v>
      </c>
      <c r="F11" s="36">
        <f>E14</f>
        <v>3</v>
      </c>
      <c r="G11" s="36">
        <f>F14</f>
        <v>3</v>
      </c>
      <c r="H11" s="36">
        <f t="shared" ref="H11:I11" si="7">G14</f>
        <v>3</v>
      </c>
      <c r="I11" s="36">
        <f t="shared" si="7"/>
        <v>4</v>
      </c>
      <c r="J11" s="36">
        <f t="shared" ref="J11" si="8">I14</f>
        <v>4</v>
      </c>
      <c r="K11" s="36">
        <f t="shared" ref="K11" si="9">J14</f>
        <v>4</v>
      </c>
      <c r="L11" s="36">
        <f t="shared" ref="L11" si="10">K14</f>
        <v>4</v>
      </c>
    </row>
    <row r="12" spans="1:12" x14ac:dyDescent="0.25">
      <c r="A12" s="6"/>
      <c r="B12" s="36" t="s">
        <v>79</v>
      </c>
      <c r="C12" s="37">
        <f>'Output Schedule'!B28</f>
        <v>56</v>
      </c>
      <c r="D12" s="37">
        <f>'Output Schedule'!C28</f>
        <v>62</v>
      </c>
      <c r="E12" s="37">
        <f>'Output Schedule'!D28</f>
        <v>68</v>
      </c>
      <c r="F12" s="37">
        <f>'Output Schedule'!E28</f>
        <v>73</v>
      </c>
      <c r="G12" s="37">
        <f>'Output Schedule'!F28</f>
        <v>79</v>
      </c>
      <c r="H12" s="37">
        <f>'Output Schedule'!G28</f>
        <v>84</v>
      </c>
      <c r="I12" s="37">
        <f>'Output Schedule'!H28</f>
        <v>90</v>
      </c>
      <c r="J12" s="37">
        <f>'Output Schedule'!I28</f>
        <v>96</v>
      </c>
      <c r="K12" s="37">
        <f>'Output Schedule'!J28</f>
        <v>101</v>
      </c>
      <c r="L12" s="37">
        <f>'Output Schedule'!K28</f>
        <v>107</v>
      </c>
    </row>
    <row r="13" spans="1:12" x14ac:dyDescent="0.25">
      <c r="A13" s="6"/>
      <c r="B13" s="36" t="s">
        <v>80</v>
      </c>
      <c r="C13" s="36">
        <f>C11+C12-C14</f>
        <v>54</v>
      </c>
      <c r="D13" s="36">
        <f>D11+D12-D14</f>
        <v>61</v>
      </c>
      <c r="E13" s="36">
        <f>E11+E12-E14</f>
        <v>68</v>
      </c>
      <c r="F13" s="36">
        <f>F11+F12-F14</f>
        <v>73</v>
      </c>
      <c r="G13" s="36">
        <f>G11+G12-G14</f>
        <v>79</v>
      </c>
      <c r="H13" s="36">
        <f t="shared" ref="H13:I13" si="11">H11+H12-H14</f>
        <v>83</v>
      </c>
      <c r="I13" s="36">
        <f t="shared" si="11"/>
        <v>90</v>
      </c>
      <c r="J13" s="36">
        <f t="shared" ref="J13:L13" si="12">J11+J12-J14</f>
        <v>96</v>
      </c>
      <c r="K13" s="36">
        <f t="shared" si="12"/>
        <v>101</v>
      </c>
      <c r="L13" s="36">
        <f t="shared" si="12"/>
        <v>106</v>
      </c>
    </row>
    <row r="14" spans="1:12" x14ac:dyDescent="0.25">
      <c r="A14" s="6"/>
      <c r="B14" s="36" t="s">
        <v>81</v>
      </c>
      <c r="C14" s="36">
        <f>ROUND((C12+C11)/24,0)</f>
        <v>2</v>
      </c>
      <c r="D14" s="36">
        <f t="shared" ref="D14:L14" si="13">ROUND((D12+D11)/24,0)</f>
        <v>3</v>
      </c>
      <c r="E14" s="36">
        <f t="shared" si="13"/>
        <v>3</v>
      </c>
      <c r="F14" s="36">
        <f t="shared" si="13"/>
        <v>3</v>
      </c>
      <c r="G14" s="36">
        <f t="shared" si="13"/>
        <v>3</v>
      </c>
      <c r="H14" s="36">
        <f t="shared" si="13"/>
        <v>4</v>
      </c>
      <c r="I14" s="36">
        <f t="shared" si="13"/>
        <v>4</v>
      </c>
      <c r="J14" s="36">
        <f t="shared" si="13"/>
        <v>4</v>
      </c>
      <c r="K14" s="36">
        <f t="shared" si="13"/>
        <v>4</v>
      </c>
      <c r="L14" s="36">
        <f t="shared" si="13"/>
        <v>5</v>
      </c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idden="1" x14ac:dyDescent="0.25">
      <c r="A16" s="7" t="s">
        <v>83</v>
      </c>
      <c r="B16" s="26" t="str">
        <f>'Output Schedule'!A29</f>
        <v>Bhusa</v>
      </c>
      <c r="C16" s="8"/>
      <c r="D16" s="8"/>
      <c r="E16" s="8"/>
      <c r="F16" s="8"/>
      <c r="G16" s="8"/>
      <c r="H16" s="8"/>
      <c r="I16" s="8"/>
      <c r="J16" s="6"/>
      <c r="K16" s="6"/>
      <c r="L16" s="6"/>
    </row>
    <row r="17" spans="1:12" hidden="1" x14ac:dyDescent="0.25">
      <c r="A17" s="6"/>
      <c r="B17" s="36" t="s">
        <v>78</v>
      </c>
      <c r="C17" s="36">
        <f>0</f>
        <v>0</v>
      </c>
      <c r="D17" s="36">
        <f>C20</f>
        <v>0</v>
      </c>
      <c r="E17" s="36">
        <f>D20</f>
        <v>0</v>
      </c>
      <c r="F17" s="36">
        <f>E20</f>
        <v>0</v>
      </c>
      <c r="G17" s="36">
        <f>F20</f>
        <v>0</v>
      </c>
      <c r="H17" s="36">
        <f t="shared" ref="H17:I17" si="14">G20</f>
        <v>0</v>
      </c>
      <c r="I17" s="36">
        <f t="shared" si="14"/>
        <v>0</v>
      </c>
      <c r="J17" s="36">
        <f t="shared" ref="J17" si="15">I20</f>
        <v>0</v>
      </c>
      <c r="K17" s="36">
        <f t="shared" ref="K17" si="16">J20</f>
        <v>0</v>
      </c>
      <c r="L17" s="36">
        <f t="shared" ref="L17" si="17">K20</f>
        <v>0</v>
      </c>
    </row>
    <row r="18" spans="1:12" hidden="1" x14ac:dyDescent="0.25">
      <c r="A18" s="6"/>
      <c r="B18" s="36" t="s">
        <v>79</v>
      </c>
      <c r="C18" s="37">
        <f>'Output Schedule'!B29</f>
        <v>0</v>
      </c>
      <c r="D18" s="37">
        <f>'Output Schedule'!C29</f>
        <v>0</v>
      </c>
      <c r="E18" s="37">
        <f>'Output Schedule'!D29</f>
        <v>0</v>
      </c>
      <c r="F18" s="37">
        <f>'Output Schedule'!E29</f>
        <v>0</v>
      </c>
      <c r="G18" s="37">
        <f>'Output Schedule'!F29</f>
        <v>0</v>
      </c>
      <c r="H18" s="37">
        <f>'Output Schedule'!G29</f>
        <v>0</v>
      </c>
      <c r="I18" s="37">
        <f>'Output Schedule'!H29</f>
        <v>0</v>
      </c>
      <c r="J18" s="37">
        <f>'Output Schedule'!I29</f>
        <v>0</v>
      </c>
      <c r="K18" s="37">
        <f>'Output Schedule'!J29</f>
        <v>0</v>
      </c>
      <c r="L18" s="37">
        <f>'Output Schedule'!K29</f>
        <v>0</v>
      </c>
    </row>
    <row r="19" spans="1:12" hidden="1" x14ac:dyDescent="0.25">
      <c r="A19" s="6"/>
      <c r="B19" s="36" t="s">
        <v>80</v>
      </c>
      <c r="C19" s="36">
        <f>C17+C18-C20</f>
        <v>0</v>
      </c>
      <c r="D19" s="36">
        <f>D17+D18-D20</f>
        <v>0</v>
      </c>
      <c r="E19" s="36">
        <f>E17+E18-E20</f>
        <v>0</v>
      </c>
      <c r="F19" s="36">
        <f>F17+F18-F20</f>
        <v>0</v>
      </c>
      <c r="G19" s="36">
        <f>G17+G18-G20</f>
        <v>0</v>
      </c>
      <c r="H19" s="36">
        <f t="shared" ref="H19:I19" si="18">H17+H18-H20</f>
        <v>0</v>
      </c>
      <c r="I19" s="36">
        <f t="shared" si="18"/>
        <v>0</v>
      </c>
      <c r="J19" s="36">
        <f t="shared" ref="J19:L19" si="19">J17+J18-J20</f>
        <v>0</v>
      </c>
      <c r="K19" s="36">
        <f t="shared" si="19"/>
        <v>0</v>
      </c>
      <c r="L19" s="36">
        <f t="shared" si="19"/>
        <v>0</v>
      </c>
    </row>
    <row r="20" spans="1:12" hidden="1" x14ac:dyDescent="0.25">
      <c r="A20" s="6"/>
      <c r="B20" s="36" t="s">
        <v>81</v>
      </c>
      <c r="C20" s="36">
        <f>ROUND((C18+C17)/24,0)</f>
        <v>0</v>
      </c>
      <c r="D20" s="36">
        <f t="shared" ref="D20:L20" si="20">ROUND((D18+D17)/24,0)</f>
        <v>0</v>
      </c>
      <c r="E20" s="36">
        <f t="shared" si="20"/>
        <v>0</v>
      </c>
      <c r="F20" s="36">
        <f t="shared" si="20"/>
        <v>0</v>
      </c>
      <c r="G20" s="36">
        <f t="shared" si="20"/>
        <v>0</v>
      </c>
      <c r="H20" s="36">
        <f t="shared" si="20"/>
        <v>0</v>
      </c>
      <c r="I20" s="36">
        <f t="shared" si="20"/>
        <v>0</v>
      </c>
      <c r="J20" s="36">
        <f t="shared" si="20"/>
        <v>0</v>
      </c>
      <c r="K20" s="36">
        <f t="shared" si="20"/>
        <v>0</v>
      </c>
      <c r="L20" s="36">
        <f t="shared" si="20"/>
        <v>0</v>
      </c>
    </row>
    <row r="21" spans="1:12" hidden="1" x14ac:dyDescent="0.25">
      <c r="A21" s="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hidden="1" x14ac:dyDescent="0.25">
      <c r="A22" s="262" t="s">
        <v>401</v>
      </c>
      <c r="B22" s="26" t="str">
        <f>'Output Schedule'!A30</f>
        <v>Powder</v>
      </c>
      <c r="C22" s="8"/>
      <c r="D22" s="8"/>
      <c r="E22" s="8"/>
      <c r="F22" s="8"/>
      <c r="G22" s="8"/>
      <c r="H22" s="8"/>
      <c r="I22" s="8"/>
      <c r="J22" s="6"/>
      <c r="K22" s="6"/>
      <c r="L22" s="6"/>
    </row>
    <row r="23" spans="1:12" hidden="1" x14ac:dyDescent="0.25">
      <c r="A23" s="6"/>
      <c r="B23" s="36" t="s">
        <v>78</v>
      </c>
      <c r="C23" s="36">
        <f>0</f>
        <v>0</v>
      </c>
      <c r="D23" s="36">
        <f>C26</f>
        <v>0</v>
      </c>
      <c r="E23" s="36">
        <f>D26</f>
        <v>0</v>
      </c>
      <c r="F23" s="36">
        <f>E26</f>
        <v>0</v>
      </c>
      <c r="G23" s="36">
        <f>F26</f>
        <v>0</v>
      </c>
      <c r="H23" s="36">
        <f t="shared" ref="H23" si="21">G26</f>
        <v>0</v>
      </c>
      <c r="I23" s="36">
        <f t="shared" ref="I23" si="22">H26</f>
        <v>0</v>
      </c>
      <c r="J23" s="36">
        <f t="shared" ref="J23" si="23">I26</f>
        <v>0</v>
      </c>
      <c r="K23" s="36">
        <f t="shared" ref="K23" si="24">J26</f>
        <v>0</v>
      </c>
      <c r="L23" s="36">
        <f t="shared" ref="L23" si="25">K26</f>
        <v>0</v>
      </c>
    </row>
    <row r="24" spans="1:12" hidden="1" x14ac:dyDescent="0.25">
      <c r="A24" s="6"/>
      <c r="B24" s="36" t="s">
        <v>79</v>
      </c>
      <c r="C24" s="37">
        <f>'Output Schedule'!B30</f>
        <v>0</v>
      </c>
      <c r="D24" s="37">
        <f>'Output Schedule'!C30</f>
        <v>0</v>
      </c>
      <c r="E24" s="37">
        <f>'Output Schedule'!D30</f>
        <v>0</v>
      </c>
      <c r="F24" s="37">
        <f>'Output Schedule'!E30</f>
        <v>0</v>
      </c>
      <c r="G24" s="37">
        <f>'Output Schedule'!F30</f>
        <v>0</v>
      </c>
      <c r="H24" s="37">
        <f>'Output Schedule'!G30</f>
        <v>0</v>
      </c>
      <c r="I24" s="37">
        <f>'Output Schedule'!H30</f>
        <v>0</v>
      </c>
      <c r="J24" s="37">
        <f>'Output Schedule'!I30</f>
        <v>0</v>
      </c>
      <c r="K24" s="37">
        <f>'Output Schedule'!J30</f>
        <v>0</v>
      </c>
      <c r="L24" s="37">
        <f>'Output Schedule'!K30</f>
        <v>0</v>
      </c>
    </row>
    <row r="25" spans="1:12" hidden="1" x14ac:dyDescent="0.25">
      <c r="A25" s="6"/>
      <c r="B25" s="36" t="s">
        <v>80</v>
      </c>
      <c r="C25" s="36">
        <f>C23+C24-C26</f>
        <v>0</v>
      </c>
      <c r="D25" s="36">
        <f>D23+D24-D26</f>
        <v>0</v>
      </c>
      <c r="E25" s="36">
        <f>E23+E24-E26</f>
        <v>0</v>
      </c>
      <c r="F25" s="36">
        <f>F23+F24-F26</f>
        <v>0</v>
      </c>
      <c r="G25" s="36">
        <f>G23+G24-G26</f>
        <v>0</v>
      </c>
      <c r="H25" s="36">
        <f t="shared" ref="H25:L25" si="26">H23+H24-H26</f>
        <v>0</v>
      </c>
      <c r="I25" s="36">
        <f t="shared" si="26"/>
        <v>0</v>
      </c>
      <c r="J25" s="36">
        <f t="shared" si="26"/>
        <v>0</v>
      </c>
      <c r="K25" s="36">
        <f t="shared" si="26"/>
        <v>0</v>
      </c>
      <c r="L25" s="36">
        <f t="shared" si="26"/>
        <v>0</v>
      </c>
    </row>
    <row r="26" spans="1:12" hidden="1" x14ac:dyDescent="0.25">
      <c r="A26" s="6"/>
      <c r="B26" s="36" t="s">
        <v>81</v>
      </c>
      <c r="C26" s="36">
        <f>ROUND(C24/24,0)</f>
        <v>0</v>
      </c>
      <c r="D26" s="36">
        <f t="shared" ref="D26:L26" si="27">ROUND(D24/24,0)</f>
        <v>0</v>
      </c>
      <c r="E26" s="36">
        <f t="shared" si="27"/>
        <v>0</v>
      </c>
      <c r="F26" s="36">
        <f t="shared" si="27"/>
        <v>0</v>
      </c>
      <c r="G26" s="36">
        <f t="shared" si="27"/>
        <v>0</v>
      </c>
      <c r="H26" s="36">
        <f t="shared" si="27"/>
        <v>0</v>
      </c>
      <c r="I26" s="36">
        <f t="shared" si="27"/>
        <v>0</v>
      </c>
      <c r="J26" s="36">
        <f t="shared" si="27"/>
        <v>0</v>
      </c>
      <c r="K26" s="36">
        <f t="shared" si="27"/>
        <v>0</v>
      </c>
      <c r="L26" s="36">
        <f t="shared" si="27"/>
        <v>0</v>
      </c>
    </row>
    <row r="27" spans="1:12" hidden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idden="1" x14ac:dyDescent="0.25">
      <c r="A28" s="298" t="s">
        <v>401</v>
      </c>
      <c r="B28" s="26" t="str">
        <f>'Output Schedule'!A31</f>
        <v>Waste</v>
      </c>
      <c r="C28" s="8"/>
      <c r="D28" s="8"/>
      <c r="E28" s="8"/>
      <c r="F28" s="8"/>
      <c r="G28" s="8"/>
      <c r="H28" s="8"/>
      <c r="I28" s="8"/>
      <c r="J28" s="6"/>
      <c r="K28" s="6"/>
      <c r="L28" s="6"/>
    </row>
    <row r="29" spans="1:12" hidden="1" x14ac:dyDescent="0.25">
      <c r="A29" s="6"/>
      <c r="B29" s="36" t="s">
        <v>78</v>
      </c>
      <c r="C29" s="36">
        <f>0</f>
        <v>0</v>
      </c>
      <c r="D29" s="36">
        <f>C32</f>
        <v>0</v>
      </c>
      <c r="E29" s="36">
        <f>D32</f>
        <v>0</v>
      </c>
      <c r="F29" s="36">
        <f>E32</f>
        <v>0</v>
      </c>
      <c r="G29" s="36">
        <f>F32</f>
        <v>0</v>
      </c>
      <c r="H29" s="36">
        <f t="shared" ref="H29" si="28">G32</f>
        <v>0</v>
      </c>
      <c r="I29" s="36">
        <f t="shared" ref="I29" si="29">H32</f>
        <v>0</v>
      </c>
      <c r="J29" s="36">
        <f t="shared" ref="J29" si="30">I32</f>
        <v>0</v>
      </c>
      <c r="K29" s="36">
        <f t="shared" ref="K29" si="31">J32</f>
        <v>0</v>
      </c>
      <c r="L29" s="36">
        <f t="shared" ref="L29" si="32">K32</f>
        <v>0</v>
      </c>
    </row>
    <row r="30" spans="1:12" hidden="1" x14ac:dyDescent="0.25">
      <c r="A30" s="6"/>
      <c r="B30" s="36" t="s">
        <v>79</v>
      </c>
      <c r="C30" s="37">
        <f>'Output Schedule'!B31</f>
        <v>5</v>
      </c>
      <c r="D30" s="37">
        <f>'Output Schedule'!C31</f>
        <v>5</v>
      </c>
      <c r="E30" s="37">
        <f>'Output Schedule'!D31</f>
        <v>5</v>
      </c>
      <c r="F30" s="37">
        <f>'Output Schedule'!E31</f>
        <v>6</v>
      </c>
      <c r="G30" s="37">
        <f>'Output Schedule'!F31</f>
        <v>6</v>
      </c>
      <c r="H30" s="37">
        <f>'Output Schedule'!G31</f>
        <v>7</v>
      </c>
      <c r="I30" s="37">
        <f>'Output Schedule'!H31</f>
        <v>7</v>
      </c>
      <c r="J30" s="37">
        <f>'Output Schedule'!I31</f>
        <v>8</v>
      </c>
      <c r="K30" s="37">
        <f>'Output Schedule'!J31</f>
        <v>8</v>
      </c>
      <c r="L30" s="37">
        <f>'Output Schedule'!K31</f>
        <v>9</v>
      </c>
    </row>
    <row r="31" spans="1:12" hidden="1" x14ac:dyDescent="0.25">
      <c r="A31" s="6"/>
      <c r="B31" s="36" t="s">
        <v>80</v>
      </c>
      <c r="C31" s="36">
        <f>C29+C30-C32</f>
        <v>5</v>
      </c>
      <c r="D31" s="36">
        <f>D29+D30-D32</f>
        <v>5</v>
      </c>
      <c r="E31" s="36">
        <f>E29+E30-E32</f>
        <v>5</v>
      </c>
      <c r="F31" s="36">
        <f>F29+F30-F32</f>
        <v>6</v>
      </c>
      <c r="G31" s="36">
        <f>G29+G30-G32</f>
        <v>6</v>
      </c>
      <c r="H31" s="36">
        <f t="shared" ref="H31:L31" si="33">H29+H30-H32</f>
        <v>7</v>
      </c>
      <c r="I31" s="36">
        <f t="shared" si="33"/>
        <v>7</v>
      </c>
      <c r="J31" s="36">
        <f t="shared" si="33"/>
        <v>8</v>
      </c>
      <c r="K31" s="36">
        <f t="shared" si="33"/>
        <v>8</v>
      </c>
      <c r="L31" s="36">
        <f t="shared" si="33"/>
        <v>9</v>
      </c>
    </row>
    <row r="32" spans="1:12" hidden="1" x14ac:dyDescent="0.25">
      <c r="A32" s="6"/>
      <c r="B32" s="36" t="s">
        <v>81</v>
      </c>
      <c r="C32" s="36">
        <f>ROUND(C30/24,0)</f>
        <v>0</v>
      </c>
      <c r="D32" s="36">
        <f t="shared" ref="D32:L32" si="34">ROUND(D30/24,0)</f>
        <v>0</v>
      </c>
      <c r="E32" s="36">
        <f t="shared" si="34"/>
        <v>0</v>
      </c>
      <c r="F32" s="36">
        <f t="shared" si="34"/>
        <v>0</v>
      </c>
      <c r="G32" s="36">
        <f t="shared" si="34"/>
        <v>0</v>
      </c>
      <c r="H32" s="36">
        <f t="shared" si="34"/>
        <v>0</v>
      </c>
      <c r="I32" s="36">
        <f t="shared" si="34"/>
        <v>0</v>
      </c>
      <c r="J32" s="36">
        <f t="shared" si="34"/>
        <v>0</v>
      </c>
      <c r="K32" s="36">
        <f t="shared" si="34"/>
        <v>0</v>
      </c>
      <c r="L32" s="36">
        <f t="shared" si="34"/>
        <v>0</v>
      </c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26" t="s">
        <v>84</v>
      </c>
      <c r="C34" s="3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43" t="s">
        <v>77</v>
      </c>
      <c r="B35" s="33" t="str">
        <f>+B4</f>
        <v>Tur Dall</v>
      </c>
      <c r="C35" s="42">
        <v>85000</v>
      </c>
      <c r="D35" s="45">
        <f>ROUND(C35*1.05,-1)</f>
        <v>89250</v>
      </c>
      <c r="E35" s="45">
        <f t="shared" ref="E35:L35" si="35">ROUND(D35*1.05,-1)</f>
        <v>93710</v>
      </c>
      <c r="F35" s="45">
        <f t="shared" si="35"/>
        <v>98400</v>
      </c>
      <c r="G35" s="45">
        <f t="shared" si="35"/>
        <v>103320</v>
      </c>
      <c r="H35" s="45">
        <f t="shared" si="35"/>
        <v>108490</v>
      </c>
      <c r="I35" s="45">
        <f t="shared" si="35"/>
        <v>113910</v>
      </c>
      <c r="J35" s="45">
        <f t="shared" si="35"/>
        <v>119610</v>
      </c>
      <c r="K35" s="45">
        <f t="shared" si="35"/>
        <v>125590</v>
      </c>
      <c r="L35" s="45">
        <f t="shared" si="35"/>
        <v>131870</v>
      </c>
    </row>
    <row r="36" spans="1:12" x14ac:dyDescent="0.25">
      <c r="A36" s="43" t="s">
        <v>82</v>
      </c>
      <c r="B36" s="33" t="str">
        <f>B10</f>
        <v>Cattle Feed</v>
      </c>
      <c r="C36" s="42">
        <v>20000</v>
      </c>
      <c r="D36" s="45">
        <f>ROUND(C36*1.05,-1)</f>
        <v>21000</v>
      </c>
      <c r="E36" s="45">
        <f t="shared" ref="E36:L36" si="36">ROUND(D36*1.05,-1)</f>
        <v>22050</v>
      </c>
      <c r="F36" s="45">
        <f t="shared" si="36"/>
        <v>23150</v>
      </c>
      <c r="G36" s="45">
        <f t="shared" si="36"/>
        <v>24310</v>
      </c>
      <c r="H36" s="45">
        <f t="shared" si="36"/>
        <v>25530</v>
      </c>
      <c r="I36" s="45">
        <f t="shared" si="36"/>
        <v>26810</v>
      </c>
      <c r="J36" s="45">
        <f t="shared" si="36"/>
        <v>28150</v>
      </c>
      <c r="K36" s="45">
        <f t="shared" si="36"/>
        <v>29560</v>
      </c>
      <c r="L36" s="45">
        <f t="shared" si="36"/>
        <v>31040</v>
      </c>
    </row>
    <row r="37" spans="1:12" hidden="1" x14ac:dyDescent="0.25">
      <c r="A37" s="43" t="s">
        <v>83</v>
      </c>
      <c r="B37" s="33" t="str">
        <f>B16</f>
        <v>Bhusa</v>
      </c>
      <c r="C37" s="42">
        <v>0</v>
      </c>
      <c r="D37" s="45">
        <f>ROUND(C37*1.05,-1)</f>
        <v>0</v>
      </c>
      <c r="E37" s="45">
        <f t="shared" ref="E37:L37" si="37">ROUND(D37*1.05,-1)</f>
        <v>0</v>
      </c>
      <c r="F37" s="45">
        <f t="shared" si="37"/>
        <v>0</v>
      </c>
      <c r="G37" s="45">
        <f t="shared" si="37"/>
        <v>0</v>
      </c>
      <c r="H37" s="45">
        <f t="shared" si="37"/>
        <v>0</v>
      </c>
      <c r="I37" s="45">
        <f t="shared" si="37"/>
        <v>0</v>
      </c>
      <c r="J37" s="45">
        <f t="shared" si="37"/>
        <v>0</v>
      </c>
      <c r="K37" s="45">
        <f t="shared" si="37"/>
        <v>0</v>
      </c>
      <c r="L37" s="45">
        <f t="shared" si="37"/>
        <v>0</v>
      </c>
    </row>
    <row r="38" spans="1:12" hidden="1" x14ac:dyDescent="0.25">
      <c r="A38" s="43" t="s">
        <v>401</v>
      </c>
      <c r="B38" s="33" t="str">
        <f>B22</f>
        <v>Powder</v>
      </c>
      <c r="C38" s="42">
        <v>0</v>
      </c>
      <c r="D38" s="45">
        <f>ROUND(C38*1.05,-1)</f>
        <v>0</v>
      </c>
      <c r="E38" s="45">
        <f t="shared" ref="E38:L38" si="38">ROUND(D38*1.05,-1)</f>
        <v>0</v>
      </c>
      <c r="F38" s="45">
        <f t="shared" si="38"/>
        <v>0</v>
      </c>
      <c r="G38" s="45">
        <f t="shared" si="38"/>
        <v>0</v>
      </c>
      <c r="H38" s="45">
        <f t="shared" si="38"/>
        <v>0</v>
      </c>
      <c r="I38" s="45">
        <f t="shared" si="38"/>
        <v>0</v>
      </c>
      <c r="J38" s="45">
        <f t="shared" si="38"/>
        <v>0</v>
      </c>
      <c r="K38" s="45">
        <f t="shared" si="38"/>
        <v>0</v>
      </c>
      <c r="L38" s="45">
        <f t="shared" si="38"/>
        <v>0</v>
      </c>
    </row>
    <row r="39" spans="1:12" hidden="1" x14ac:dyDescent="0.25">
      <c r="A39" s="43" t="s">
        <v>402</v>
      </c>
      <c r="B39" s="33" t="str">
        <f>B28</f>
        <v>Waste</v>
      </c>
      <c r="C39" s="42">
        <v>0</v>
      </c>
      <c r="D39" s="45">
        <f>ROUND(C39*1.05,-1)</f>
        <v>0</v>
      </c>
      <c r="E39" s="45">
        <f t="shared" ref="E39" si="39">ROUND(D39*1.05,-1)</f>
        <v>0</v>
      </c>
      <c r="F39" s="45">
        <f t="shared" ref="F39" si="40">ROUND(E39*1.05,-1)</f>
        <v>0</v>
      </c>
      <c r="G39" s="45">
        <f t="shared" ref="G39" si="41">ROUND(F39*1.05,-1)</f>
        <v>0</v>
      </c>
      <c r="H39" s="45">
        <f t="shared" ref="H39" si="42">ROUND(G39*1.05,-1)</f>
        <v>0</v>
      </c>
      <c r="I39" s="45">
        <f t="shared" ref="I39" si="43">ROUND(H39*1.05,-1)</f>
        <v>0</v>
      </c>
      <c r="J39" s="45">
        <f t="shared" ref="J39" si="44">ROUND(I39*1.05,-1)</f>
        <v>0</v>
      </c>
      <c r="K39" s="45">
        <f t="shared" ref="K39" si="45">ROUND(J39*1.05,-1)</f>
        <v>0</v>
      </c>
      <c r="L39" s="45">
        <f t="shared" ref="L39" si="46">ROUND(K39*1.05,-1)</f>
        <v>0</v>
      </c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8" t="s">
        <v>77</v>
      </c>
      <c r="B41" s="8" t="str">
        <f>B35</f>
        <v>Tur Dall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36" t="s">
        <v>70</v>
      </c>
      <c r="C42" s="42">
        <v>0</v>
      </c>
      <c r="D42" s="42">
        <f>C43</f>
        <v>5.95</v>
      </c>
      <c r="E42" s="42">
        <f>D43</f>
        <v>7.14</v>
      </c>
      <c r="F42" s="42">
        <f t="shared" ref="F42:I42" si="47">E43</f>
        <v>8.4338999999999995</v>
      </c>
      <c r="G42" s="42">
        <f t="shared" si="47"/>
        <v>8.8559999999999999</v>
      </c>
      <c r="H42" s="42">
        <f t="shared" si="47"/>
        <v>10.332000000000001</v>
      </c>
      <c r="I42" s="42">
        <f t="shared" si="47"/>
        <v>11.9339</v>
      </c>
      <c r="J42" s="42">
        <f t="shared" ref="J42" si="48">I43</f>
        <v>12.530099999999999</v>
      </c>
      <c r="K42" s="42">
        <f t="shared" ref="K42" si="49">J43</f>
        <v>14.353199999999999</v>
      </c>
      <c r="L42" s="42">
        <f t="shared" ref="L42" si="50">K43</f>
        <v>16.326699999999999</v>
      </c>
    </row>
    <row r="43" spans="1:12" x14ac:dyDescent="0.25">
      <c r="A43" s="6"/>
      <c r="B43" s="36" t="s">
        <v>71</v>
      </c>
      <c r="C43" s="42">
        <f>C8*C35/100000</f>
        <v>5.95</v>
      </c>
      <c r="D43" s="42">
        <f t="shared" ref="D43:I43" si="51">D8*D35/100000</f>
        <v>7.14</v>
      </c>
      <c r="E43" s="42">
        <f t="shared" si="51"/>
        <v>8.4338999999999995</v>
      </c>
      <c r="F43" s="42">
        <f t="shared" si="51"/>
        <v>8.8559999999999999</v>
      </c>
      <c r="G43" s="42">
        <f t="shared" si="51"/>
        <v>10.332000000000001</v>
      </c>
      <c r="H43" s="42">
        <f t="shared" si="51"/>
        <v>11.9339</v>
      </c>
      <c r="I43" s="42">
        <f t="shared" si="51"/>
        <v>12.530099999999999</v>
      </c>
      <c r="J43" s="42">
        <f t="shared" ref="J43:L43" si="52">J8*J35/100000</f>
        <v>14.353199999999999</v>
      </c>
      <c r="K43" s="42">
        <f t="shared" si="52"/>
        <v>16.326699999999999</v>
      </c>
      <c r="L43" s="42">
        <f t="shared" si="52"/>
        <v>18.4618</v>
      </c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8" t="s">
        <v>82</v>
      </c>
      <c r="B45" s="8" t="str">
        <f>B10</f>
        <v>Cattle Feed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36" t="s">
        <v>70</v>
      </c>
      <c r="C46" s="42">
        <v>0</v>
      </c>
      <c r="D46" s="42">
        <f>C47</f>
        <v>0.4</v>
      </c>
      <c r="E46" s="42">
        <f>D47</f>
        <v>0.63</v>
      </c>
      <c r="F46" s="42">
        <f t="shared" ref="F46:I46" si="53">E47</f>
        <v>0.66149999999999998</v>
      </c>
      <c r="G46" s="42">
        <f t="shared" si="53"/>
        <v>0.69450000000000001</v>
      </c>
      <c r="H46" s="42">
        <f t="shared" si="53"/>
        <v>0.72929999999999995</v>
      </c>
      <c r="I46" s="42">
        <f t="shared" si="53"/>
        <v>1.0212000000000001</v>
      </c>
      <c r="J46" s="42">
        <f t="shared" ref="J46" si="54">I47</f>
        <v>1.0724</v>
      </c>
      <c r="K46" s="42">
        <f t="shared" ref="K46" si="55">J47</f>
        <v>1.1259999999999999</v>
      </c>
      <c r="L46" s="42">
        <f t="shared" ref="L46" si="56">K47</f>
        <v>1.1823999999999999</v>
      </c>
    </row>
    <row r="47" spans="1:12" x14ac:dyDescent="0.25">
      <c r="A47" s="6"/>
      <c r="B47" s="36" t="s">
        <v>71</v>
      </c>
      <c r="C47" s="42">
        <f>C36*C14/100000</f>
        <v>0.4</v>
      </c>
      <c r="D47" s="42">
        <f t="shared" ref="D47:I47" si="57">D36*D14/100000</f>
        <v>0.63</v>
      </c>
      <c r="E47" s="42">
        <f t="shared" si="57"/>
        <v>0.66149999999999998</v>
      </c>
      <c r="F47" s="42">
        <f t="shared" si="57"/>
        <v>0.69450000000000001</v>
      </c>
      <c r="G47" s="42">
        <f t="shared" si="57"/>
        <v>0.72929999999999995</v>
      </c>
      <c r="H47" s="42">
        <f t="shared" si="57"/>
        <v>1.0212000000000001</v>
      </c>
      <c r="I47" s="42">
        <f t="shared" si="57"/>
        <v>1.0724</v>
      </c>
      <c r="J47" s="42">
        <f t="shared" ref="J47:L47" si="58">J36*J14/100000</f>
        <v>1.1259999999999999</v>
      </c>
      <c r="K47" s="42">
        <f t="shared" si="58"/>
        <v>1.1823999999999999</v>
      </c>
      <c r="L47" s="42">
        <f t="shared" si="58"/>
        <v>1.552</v>
      </c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idden="1" x14ac:dyDescent="0.25">
      <c r="A49" s="8" t="s">
        <v>83</v>
      </c>
      <c r="B49" s="8" t="str">
        <f>B16</f>
        <v>Bhusa</v>
      </c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idden="1" x14ac:dyDescent="0.25">
      <c r="A50" s="6"/>
      <c r="B50" s="36" t="s">
        <v>70</v>
      </c>
      <c r="C50" s="42">
        <v>0</v>
      </c>
      <c r="D50" s="42">
        <f>C51</f>
        <v>0</v>
      </c>
      <c r="E50" s="42">
        <f>D51</f>
        <v>0</v>
      </c>
      <c r="F50" s="42">
        <f t="shared" ref="F50:I50" si="59">E51</f>
        <v>0</v>
      </c>
      <c r="G50" s="42">
        <f t="shared" si="59"/>
        <v>0</v>
      </c>
      <c r="H50" s="42">
        <f t="shared" si="59"/>
        <v>0</v>
      </c>
      <c r="I50" s="42">
        <f t="shared" si="59"/>
        <v>0</v>
      </c>
      <c r="J50" s="42">
        <f t="shared" ref="J50" si="60">I51</f>
        <v>0</v>
      </c>
      <c r="K50" s="42">
        <f t="shared" ref="K50" si="61">J51</f>
        <v>0</v>
      </c>
      <c r="L50" s="42">
        <f t="shared" ref="L50" si="62">K51</f>
        <v>0</v>
      </c>
    </row>
    <row r="51" spans="1:12" hidden="1" x14ac:dyDescent="0.25">
      <c r="A51" s="6"/>
      <c r="B51" s="36" t="s">
        <v>71</v>
      </c>
      <c r="C51" s="42">
        <f>C37*C20/100000</f>
        <v>0</v>
      </c>
      <c r="D51" s="42">
        <f t="shared" ref="D51:I51" si="63">D37*D20/100000</f>
        <v>0</v>
      </c>
      <c r="E51" s="42">
        <f t="shared" si="63"/>
        <v>0</v>
      </c>
      <c r="F51" s="42">
        <f t="shared" si="63"/>
        <v>0</v>
      </c>
      <c r="G51" s="42">
        <f t="shared" si="63"/>
        <v>0</v>
      </c>
      <c r="H51" s="42">
        <f t="shared" si="63"/>
        <v>0</v>
      </c>
      <c r="I51" s="42">
        <f t="shared" si="63"/>
        <v>0</v>
      </c>
      <c r="J51" s="42">
        <f t="shared" ref="J51:L51" si="64">J37*J20/100000</f>
        <v>0</v>
      </c>
      <c r="K51" s="42">
        <f t="shared" si="64"/>
        <v>0</v>
      </c>
      <c r="L51" s="42">
        <f t="shared" si="64"/>
        <v>0</v>
      </c>
    </row>
    <row r="52" spans="1:12" hidden="1" x14ac:dyDescent="0.25">
      <c r="A52" s="6"/>
      <c r="B52" s="36"/>
      <c r="C52" s="42"/>
      <c r="D52" s="42"/>
      <c r="E52" s="42"/>
      <c r="F52" s="42"/>
      <c r="G52" s="42"/>
      <c r="H52" s="42"/>
      <c r="I52" s="42"/>
      <c r="J52" s="6"/>
      <c r="K52" s="6"/>
      <c r="L52" s="6"/>
    </row>
    <row r="53" spans="1:12" hidden="1" x14ac:dyDescent="0.25">
      <c r="A53" s="6" t="s">
        <v>401</v>
      </c>
      <c r="B53" s="8" t="str">
        <f>B22</f>
        <v>Powder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idden="1" x14ac:dyDescent="0.25">
      <c r="A54" s="6"/>
      <c r="B54" s="36" t="s">
        <v>70</v>
      </c>
      <c r="C54" s="42">
        <v>0</v>
      </c>
      <c r="D54" s="42">
        <f>C55</f>
        <v>0</v>
      </c>
      <c r="E54" s="42">
        <f>D55</f>
        <v>0</v>
      </c>
      <c r="F54" s="42">
        <f t="shared" ref="F54" si="65">E55</f>
        <v>0</v>
      </c>
      <c r="G54" s="42">
        <f t="shared" ref="G54" si="66">F55</f>
        <v>0</v>
      </c>
      <c r="H54" s="42">
        <f t="shared" ref="H54" si="67">G55</f>
        <v>0</v>
      </c>
      <c r="I54" s="42">
        <f t="shared" ref="I54" si="68">H55</f>
        <v>0</v>
      </c>
      <c r="J54" s="42">
        <f t="shared" ref="J54" si="69">I55</f>
        <v>0</v>
      </c>
      <c r="K54" s="42">
        <f t="shared" ref="K54" si="70">J55</f>
        <v>0</v>
      </c>
      <c r="L54" s="42">
        <f t="shared" ref="L54" si="71">K55</f>
        <v>0</v>
      </c>
    </row>
    <row r="55" spans="1:12" hidden="1" x14ac:dyDescent="0.25">
      <c r="A55" s="6"/>
      <c r="B55" s="36" t="s">
        <v>71</v>
      </c>
      <c r="C55" s="42">
        <f>C38*C26/100000</f>
        <v>0</v>
      </c>
      <c r="D55" s="42">
        <f t="shared" ref="D55:L55" si="72">D38*D26/100000</f>
        <v>0</v>
      </c>
      <c r="E55" s="42">
        <f t="shared" si="72"/>
        <v>0</v>
      </c>
      <c r="F55" s="42">
        <f t="shared" si="72"/>
        <v>0</v>
      </c>
      <c r="G55" s="42">
        <f t="shared" si="72"/>
        <v>0</v>
      </c>
      <c r="H55" s="42">
        <f t="shared" si="72"/>
        <v>0</v>
      </c>
      <c r="I55" s="42">
        <f t="shared" si="72"/>
        <v>0</v>
      </c>
      <c r="J55" s="42">
        <f t="shared" si="72"/>
        <v>0</v>
      </c>
      <c r="K55" s="42">
        <f t="shared" si="72"/>
        <v>0</v>
      </c>
      <c r="L55" s="42">
        <f t="shared" si="72"/>
        <v>0</v>
      </c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idden="1" x14ac:dyDescent="0.25">
      <c r="A57" s="6" t="s">
        <v>401</v>
      </c>
      <c r="B57" s="8" t="str">
        <f>B28</f>
        <v>Waste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idden="1" x14ac:dyDescent="0.25">
      <c r="A58" s="6"/>
      <c r="B58" s="36" t="s">
        <v>70</v>
      </c>
      <c r="C58" s="42">
        <v>0</v>
      </c>
      <c r="D58" s="42">
        <f>C59</f>
        <v>0</v>
      </c>
      <c r="E58" s="42">
        <f>D59</f>
        <v>0</v>
      </c>
      <c r="F58" s="42">
        <f t="shared" ref="F58" si="73">E59</f>
        <v>0</v>
      </c>
      <c r="G58" s="42">
        <f t="shared" ref="G58" si="74">F59</f>
        <v>0</v>
      </c>
      <c r="H58" s="42">
        <f t="shared" ref="H58" si="75">G59</f>
        <v>0</v>
      </c>
      <c r="I58" s="42">
        <f t="shared" ref="I58" si="76">H59</f>
        <v>0</v>
      </c>
      <c r="J58" s="42">
        <f t="shared" ref="J58" si="77">I59</f>
        <v>0</v>
      </c>
      <c r="K58" s="42">
        <f t="shared" ref="K58" si="78">J59</f>
        <v>0</v>
      </c>
      <c r="L58" s="42">
        <f t="shared" ref="L58" si="79">K59</f>
        <v>0</v>
      </c>
    </row>
    <row r="59" spans="1:12" hidden="1" x14ac:dyDescent="0.25">
      <c r="A59" s="6"/>
      <c r="B59" s="36" t="s">
        <v>71</v>
      </c>
      <c r="C59" s="42">
        <f>C39*C32/100000</f>
        <v>0</v>
      </c>
      <c r="D59" s="42">
        <f t="shared" ref="D59:L59" si="80">D39*D32/100000</f>
        <v>0</v>
      </c>
      <c r="E59" s="42">
        <f t="shared" si="80"/>
        <v>0</v>
      </c>
      <c r="F59" s="42">
        <f t="shared" si="80"/>
        <v>0</v>
      </c>
      <c r="G59" s="42">
        <f t="shared" si="80"/>
        <v>0</v>
      </c>
      <c r="H59" s="42">
        <f t="shared" si="80"/>
        <v>0</v>
      </c>
      <c r="I59" s="42">
        <f t="shared" si="80"/>
        <v>0</v>
      </c>
      <c r="J59" s="42">
        <f t="shared" si="80"/>
        <v>0</v>
      </c>
      <c r="K59" s="42">
        <f t="shared" si="80"/>
        <v>0</v>
      </c>
      <c r="L59" s="42">
        <f t="shared" si="80"/>
        <v>0</v>
      </c>
    </row>
    <row r="60" spans="1:12" hidden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43"/>
      <c r="B61" s="26" t="s">
        <v>729</v>
      </c>
      <c r="C61" s="219"/>
      <c r="D61" s="219"/>
      <c r="E61" s="219"/>
      <c r="F61" s="219"/>
      <c r="G61" s="219"/>
      <c r="H61" s="219"/>
      <c r="I61" s="219"/>
      <c r="J61" s="6"/>
      <c r="K61" s="6"/>
      <c r="L61" s="6"/>
    </row>
    <row r="62" spans="1:12" x14ac:dyDescent="0.25">
      <c r="A62" s="298" t="s">
        <v>77</v>
      </c>
      <c r="B62" s="26" t="str">
        <f>'Output Schedule'!A34</f>
        <v>Chana Dall</v>
      </c>
      <c r="C62" s="36"/>
      <c r="D62" s="36"/>
      <c r="E62" s="36"/>
      <c r="F62" s="36"/>
      <c r="G62" s="36"/>
      <c r="H62" s="6"/>
      <c r="I62" s="6"/>
      <c r="J62" s="6"/>
      <c r="K62" s="6"/>
      <c r="L62" s="6"/>
    </row>
    <row r="63" spans="1:12" x14ac:dyDescent="0.25">
      <c r="A63" s="43"/>
      <c r="B63" s="36" t="s">
        <v>78</v>
      </c>
      <c r="C63" s="36">
        <f>0</f>
        <v>0</v>
      </c>
      <c r="D63" s="36">
        <f>C66</f>
        <v>5</v>
      </c>
      <c r="E63" s="36">
        <f>D66</f>
        <v>5</v>
      </c>
      <c r="F63" s="36">
        <f>E66</f>
        <v>6</v>
      </c>
      <c r="G63" s="36">
        <f>F66</f>
        <v>6</v>
      </c>
      <c r="H63" s="36">
        <f t="shared" ref="H63" si="81">G66</f>
        <v>7</v>
      </c>
      <c r="I63" s="36">
        <f t="shared" ref="I63" si="82">H66</f>
        <v>7</v>
      </c>
      <c r="J63" s="36">
        <f t="shared" ref="J63" si="83">I66</f>
        <v>8</v>
      </c>
      <c r="K63" s="36">
        <f t="shared" ref="K63" si="84">J66</f>
        <v>8</v>
      </c>
      <c r="L63" s="36">
        <f t="shared" ref="L63" si="85">K66</f>
        <v>9</v>
      </c>
    </row>
    <row r="64" spans="1:12" x14ac:dyDescent="0.25">
      <c r="A64" s="43"/>
      <c r="B64" s="36" t="s">
        <v>79</v>
      </c>
      <c r="C64" s="37">
        <f>+'Output Schedule'!B34</f>
        <v>113</v>
      </c>
      <c r="D64" s="37">
        <f>+'Output Schedule'!C34</f>
        <v>124</v>
      </c>
      <c r="E64" s="37">
        <f>+'Output Schedule'!D34</f>
        <v>135</v>
      </c>
      <c r="F64" s="37">
        <f>+'Output Schedule'!E34</f>
        <v>146</v>
      </c>
      <c r="G64" s="37">
        <f>+'Output Schedule'!F34</f>
        <v>158</v>
      </c>
      <c r="H64" s="37">
        <f>+'Output Schedule'!G34</f>
        <v>169</v>
      </c>
      <c r="I64" s="37">
        <f>+'Output Schedule'!H34</f>
        <v>180</v>
      </c>
      <c r="J64" s="37">
        <f>+'Output Schedule'!I34</f>
        <v>191</v>
      </c>
      <c r="K64" s="37">
        <f>+'Output Schedule'!J34</f>
        <v>203</v>
      </c>
      <c r="L64" s="37">
        <f>+'Output Schedule'!K34</f>
        <v>214</v>
      </c>
    </row>
    <row r="65" spans="1:12" x14ac:dyDescent="0.25">
      <c r="A65" s="43"/>
      <c r="B65" s="36" t="s">
        <v>80</v>
      </c>
      <c r="C65" s="36">
        <f>C63+C64-C66</f>
        <v>108</v>
      </c>
      <c r="D65" s="36">
        <f>D63+D64-D66</f>
        <v>124</v>
      </c>
      <c r="E65" s="36">
        <f>E63+E64-E66</f>
        <v>134</v>
      </c>
      <c r="F65" s="36">
        <f>F63+F64-F66</f>
        <v>146</v>
      </c>
      <c r="G65" s="36">
        <f>G63+G64-G66</f>
        <v>157</v>
      </c>
      <c r="H65" s="36">
        <f t="shared" ref="H65:L65" si="86">H63+H64-H66</f>
        <v>169</v>
      </c>
      <c r="I65" s="36">
        <f t="shared" si="86"/>
        <v>179</v>
      </c>
      <c r="J65" s="36">
        <f t="shared" si="86"/>
        <v>191</v>
      </c>
      <c r="K65" s="36">
        <f t="shared" si="86"/>
        <v>202</v>
      </c>
      <c r="L65" s="36">
        <f t="shared" si="86"/>
        <v>214</v>
      </c>
    </row>
    <row r="66" spans="1:12" x14ac:dyDescent="0.25">
      <c r="A66" s="43"/>
      <c r="B66" s="36" t="s">
        <v>81</v>
      </c>
      <c r="C66" s="36">
        <f>ROUND((C64+C63)/24,0)</f>
        <v>5</v>
      </c>
      <c r="D66" s="36">
        <f t="shared" ref="D66:L66" si="87">ROUND((D64+D63)/24,0)</f>
        <v>5</v>
      </c>
      <c r="E66" s="36">
        <f t="shared" si="87"/>
        <v>6</v>
      </c>
      <c r="F66" s="36">
        <f t="shared" si="87"/>
        <v>6</v>
      </c>
      <c r="G66" s="36">
        <f t="shared" si="87"/>
        <v>7</v>
      </c>
      <c r="H66" s="36">
        <f t="shared" si="87"/>
        <v>7</v>
      </c>
      <c r="I66" s="36">
        <f t="shared" si="87"/>
        <v>8</v>
      </c>
      <c r="J66" s="36">
        <f t="shared" si="87"/>
        <v>8</v>
      </c>
      <c r="K66" s="36">
        <f t="shared" si="87"/>
        <v>9</v>
      </c>
      <c r="L66" s="36">
        <f t="shared" si="87"/>
        <v>9</v>
      </c>
    </row>
    <row r="67" spans="1:12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s="3" customFormat="1" x14ac:dyDescent="0.25">
      <c r="A68" s="298" t="s">
        <v>82</v>
      </c>
      <c r="B68" s="8" t="str">
        <f>+'Output Schedule'!A35</f>
        <v>Chuni</v>
      </c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x14ac:dyDescent="0.25">
      <c r="A69" s="6"/>
      <c r="B69" s="36" t="s">
        <v>78</v>
      </c>
      <c r="C69" s="36">
        <f>0</f>
        <v>0</v>
      </c>
      <c r="D69" s="36">
        <f>C72</f>
        <v>1</v>
      </c>
      <c r="E69" s="36">
        <f>D72</f>
        <v>1</v>
      </c>
      <c r="F69" s="36">
        <f>E72</f>
        <v>1</v>
      </c>
      <c r="G69" s="36">
        <f>F72</f>
        <v>1</v>
      </c>
      <c r="H69" s="36">
        <f t="shared" ref="H69" si="88">G72</f>
        <v>1</v>
      </c>
      <c r="I69" s="36">
        <f t="shared" ref="I69" si="89">H72</f>
        <v>1</v>
      </c>
      <c r="J69" s="36">
        <f t="shared" ref="J69" si="90">I72</f>
        <v>1</v>
      </c>
      <c r="K69" s="36">
        <f t="shared" ref="K69" si="91">J72</f>
        <v>1</v>
      </c>
      <c r="L69" s="36">
        <f t="shared" ref="L69" si="92">K72</f>
        <v>1</v>
      </c>
    </row>
    <row r="70" spans="1:12" x14ac:dyDescent="0.25">
      <c r="A70" s="6"/>
      <c r="B70" s="36" t="s">
        <v>79</v>
      </c>
      <c r="C70" s="37">
        <f>'Output Schedule'!B35</f>
        <v>12</v>
      </c>
      <c r="D70" s="37">
        <f>'Output Schedule'!C35</f>
        <v>13</v>
      </c>
      <c r="E70" s="37">
        <f>'Output Schedule'!D35</f>
        <v>14</v>
      </c>
      <c r="F70" s="37">
        <f>'Output Schedule'!E35</f>
        <v>16</v>
      </c>
      <c r="G70" s="37">
        <f>'Output Schedule'!F35</f>
        <v>17</v>
      </c>
      <c r="H70" s="37">
        <f>'Output Schedule'!G35</f>
        <v>18</v>
      </c>
      <c r="I70" s="37">
        <f>'Output Schedule'!H35</f>
        <v>19</v>
      </c>
      <c r="J70" s="37">
        <f>'Output Schedule'!I35</f>
        <v>20</v>
      </c>
      <c r="K70" s="37">
        <f>'Output Schedule'!J35</f>
        <v>22</v>
      </c>
      <c r="L70" s="37">
        <f>'Output Schedule'!K35</f>
        <v>23</v>
      </c>
    </row>
    <row r="71" spans="1:12" x14ac:dyDescent="0.25">
      <c r="A71" s="6"/>
      <c r="B71" s="36" t="s">
        <v>80</v>
      </c>
      <c r="C71" s="36">
        <f>C69+C70-C72</f>
        <v>11</v>
      </c>
      <c r="D71" s="36">
        <f>D69+D70-D72</f>
        <v>13</v>
      </c>
      <c r="E71" s="36">
        <f>E69+E70-E72</f>
        <v>14</v>
      </c>
      <c r="F71" s="36">
        <f>F69+F70-F72</f>
        <v>16</v>
      </c>
      <c r="G71" s="36">
        <f>G69+G70-G72</f>
        <v>17</v>
      </c>
      <c r="H71" s="36">
        <f t="shared" ref="H71:L71" si="93">H69+H70-H72</f>
        <v>18</v>
      </c>
      <c r="I71" s="36">
        <f t="shared" si="93"/>
        <v>19</v>
      </c>
      <c r="J71" s="36">
        <f t="shared" si="93"/>
        <v>20</v>
      </c>
      <c r="K71" s="36">
        <f t="shared" si="93"/>
        <v>22</v>
      </c>
      <c r="L71" s="36">
        <f t="shared" si="93"/>
        <v>23</v>
      </c>
    </row>
    <row r="72" spans="1:12" x14ac:dyDescent="0.25">
      <c r="A72" s="6"/>
      <c r="B72" s="36" t="s">
        <v>81</v>
      </c>
      <c r="C72" s="36">
        <f>ROUND((C70+C69)/24,0)</f>
        <v>1</v>
      </c>
      <c r="D72" s="36">
        <f t="shared" ref="D72:L72" si="94">ROUND((D70+D69)/24,0)</f>
        <v>1</v>
      </c>
      <c r="E72" s="36">
        <f t="shared" si="94"/>
        <v>1</v>
      </c>
      <c r="F72" s="36">
        <f t="shared" si="94"/>
        <v>1</v>
      </c>
      <c r="G72" s="36">
        <f t="shared" si="94"/>
        <v>1</v>
      </c>
      <c r="H72" s="36">
        <f t="shared" si="94"/>
        <v>1</v>
      </c>
      <c r="I72" s="36">
        <f t="shared" si="94"/>
        <v>1</v>
      </c>
      <c r="J72" s="36">
        <f t="shared" si="94"/>
        <v>1</v>
      </c>
      <c r="K72" s="36">
        <f t="shared" si="94"/>
        <v>1</v>
      </c>
      <c r="L72" s="36">
        <f t="shared" si="94"/>
        <v>1</v>
      </c>
    </row>
    <row r="73" spans="1:1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298" t="s">
        <v>83</v>
      </c>
      <c r="B74" s="26" t="str">
        <f>'Output Schedule'!A36</f>
        <v>Bhusa</v>
      </c>
      <c r="C74" s="8"/>
      <c r="D74" s="8"/>
      <c r="E74" s="8"/>
      <c r="F74" s="8"/>
      <c r="G74" s="8"/>
      <c r="H74" s="8"/>
      <c r="I74" s="8"/>
      <c r="J74" s="6"/>
      <c r="K74" s="6"/>
      <c r="L74" s="6"/>
    </row>
    <row r="75" spans="1:12" x14ac:dyDescent="0.25">
      <c r="A75" s="6"/>
      <c r="B75" s="36" t="s">
        <v>78</v>
      </c>
      <c r="C75" s="36">
        <f>0</f>
        <v>0</v>
      </c>
      <c r="D75" s="36">
        <f>C78</f>
        <v>1</v>
      </c>
      <c r="E75" s="36">
        <f>D78</f>
        <v>1</v>
      </c>
      <c r="F75" s="36">
        <f>E78</f>
        <v>1</v>
      </c>
      <c r="G75" s="36">
        <f>F78</f>
        <v>1</v>
      </c>
      <c r="H75" s="36">
        <f t="shared" ref="H75" si="95">G78</f>
        <v>1</v>
      </c>
      <c r="I75" s="36">
        <f t="shared" ref="I75" si="96">H78</f>
        <v>1</v>
      </c>
      <c r="J75" s="36">
        <f t="shared" ref="J75" si="97">I78</f>
        <v>2</v>
      </c>
      <c r="K75" s="36">
        <f t="shared" ref="K75" si="98">J78</f>
        <v>2</v>
      </c>
      <c r="L75" s="36">
        <f t="shared" ref="L75" si="99">K78</f>
        <v>2</v>
      </c>
    </row>
    <row r="76" spans="1:12" x14ac:dyDescent="0.25">
      <c r="A76" s="6"/>
      <c r="B76" s="36" t="s">
        <v>79</v>
      </c>
      <c r="C76" s="37">
        <f>'Output Schedule'!B36</f>
        <v>23</v>
      </c>
      <c r="D76" s="37">
        <f>'Output Schedule'!C36</f>
        <v>25</v>
      </c>
      <c r="E76" s="37">
        <f>'Output Schedule'!D36</f>
        <v>27</v>
      </c>
      <c r="F76" s="37">
        <f>'Output Schedule'!E36</f>
        <v>29</v>
      </c>
      <c r="G76" s="37">
        <f>'Output Schedule'!F36</f>
        <v>32</v>
      </c>
      <c r="H76" s="37">
        <f>'Output Schedule'!G36</f>
        <v>34</v>
      </c>
      <c r="I76" s="37">
        <f>'Output Schedule'!H36</f>
        <v>36</v>
      </c>
      <c r="J76" s="37">
        <f>'Output Schedule'!I36</f>
        <v>38</v>
      </c>
      <c r="K76" s="37">
        <f>'Output Schedule'!J36</f>
        <v>41</v>
      </c>
      <c r="L76" s="37">
        <f>'Output Schedule'!K36</f>
        <v>43</v>
      </c>
    </row>
    <row r="77" spans="1:12" x14ac:dyDescent="0.25">
      <c r="A77" s="6"/>
      <c r="B77" s="36" t="s">
        <v>80</v>
      </c>
      <c r="C77" s="36">
        <f>C75+C76-C78</f>
        <v>22</v>
      </c>
      <c r="D77" s="36">
        <f>D75+D76-D78</f>
        <v>25</v>
      </c>
      <c r="E77" s="36">
        <f>E75+E76-E78</f>
        <v>27</v>
      </c>
      <c r="F77" s="36">
        <f>F75+F76-F78</f>
        <v>29</v>
      </c>
      <c r="G77" s="36">
        <f>G75+G76-G78</f>
        <v>32</v>
      </c>
      <c r="H77" s="36">
        <f t="shared" ref="H77:L77" si="100">H75+H76-H78</f>
        <v>34</v>
      </c>
      <c r="I77" s="36">
        <f t="shared" si="100"/>
        <v>35</v>
      </c>
      <c r="J77" s="36">
        <f t="shared" si="100"/>
        <v>38</v>
      </c>
      <c r="K77" s="36">
        <f t="shared" si="100"/>
        <v>41</v>
      </c>
      <c r="L77" s="36">
        <f t="shared" si="100"/>
        <v>43</v>
      </c>
    </row>
    <row r="78" spans="1:12" x14ac:dyDescent="0.25">
      <c r="A78" s="6"/>
      <c r="B78" s="36" t="s">
        <v>81</v>
      </c>
      <c r="C78" s="36">
        <f>ROUND((C76+C75)/24,0)</f>
        <v>1</v>
      </c>
      <c r="D78" s="36">
        <f t="shared" ref="D78:L78" si="101">ROUND((D76+D75)/24,0)</f>
        <v>1</v>
      </c>
      <c r="E78" s="36">
        <f t="shared" si="101"/>
        <v>1</v>
      </c>
      <c r="F78" s="36">
        <f t="shared" si="101"/>
        <v>1</v>
      </c>
      <c r="G78" s="36">
        <f t="shared" si="101"/>
        <v>1</v>
      </c>
      <c r="H78" s="36">
        <f t="shared" si="101"/>
        <v>1</v>
      </c>
      <c r="I78" s="36">
        <f t="shared" si="101"/>
        <v>2</v>
      </c>
      <c r="J78" s="36">
        <f t="shared" si="101"/>
        <v>2</v>
      </c>
      <c r="K78" s="36">
        <f t="shared" si="101"/>
        <v>2</v>
      </c>
      <c r="L78" s="36">
        <f t="shared" si="101"/>
        <v>2</v>
      </c>
    </row>
    <row r="79" spans="1:12" x14ac:dyDescent="0.25">
      <c r="A79" s="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2" x14ac:dyDescent="0.25">
      <c r="A80" s="298" t="s">
        <v>401</v>
      </c>
      <c r="B80" s="26" t="str">
        <f>'Output Schedule'!A37</f>
        <v>Powder</v>
      </c>
      <c r="C80" s="8"/>
      <c r="D80" s="8"/>
      <c r="E80" s="8"/>
      <c r="F80" s="8"/>
      <c r="G80" s="8"/>
      <c r="H80" s="8"/>
      <c r="I80" s="8"/>
      <c r="J80" s="6"/>
      <c r="K80" s="6"/>
      <c r="L80" s="6"/>
    </row>
    <row r="81" spans="1:12" x14ac:dyDescent="0.25">
      <c r="A81" s="6"/>
      <c r="B81" s="36" t="s">
        <v>78</v>
      </c>
      <c r="C81" s="36">
        <f>0</f>
        <v>0</v>
      </c>
      <c r="D81" s="36">
        <f>C84</f>
        <v>0</v>
      </c>
      <c r="E81" s="36">
        <f>D84</f>
        <v>0</v>
      </c>
      <c r="F81" s="36">
        <f>E84</f>
        <v>0</v>
      </c>
      <c r="G81" s="36">
        <f>F84</f>
        <v>0</v>
      </c>
      <c r="H81" s="36">
        <f t="shared" ref="H81" si="102">G84</f>
        <v>0</v>
      </c>
      <c r="I81" s="36">
        <f t="shared" ref="I81" si="103">H84</f>
        <v>0</v>
      </c>
      <c r="J81" s="36">
        <f t="shared" ref="J81" si="104">I84</f>
        <v>0</v>
      </c>
      <c r="K81" s="36">
        <f t="shared" ref="K81" si="105">J84</f>
        <v>0</v>
      </c>
      <c r="L81" s="36">
        <f t="shared" ref="L81" si="106">K84</f>
        <v>0</v>
      </c>
    </row>
    <row r="82" spans="1:12" x14ac:dyDescent="0.25">
      <c r="A82" s="6"/>
      <c r="B82" s="36" t="s">
        <v>79</v>
      </c>
      <c r="C82" s="37">
        <f>'Output Schedule'!B37</f>
        <v>0</v>
      </c>
      <c r="D82" s="37">
        <f>'Output Schedule'!C37</f>
        <v>0</v>
      </c>
      <c r="E82" s="37">
        <f>'Output Schedule'!D37</f>
        <v>0</v>
      </c>
      <c r="F82" s="37">
        <f>'Output Schedule'!E37</f>
        <v>0</v>
      </c>
      <c r="G82" s="37">
        <f>'Output Schedule'!F37</f>
        <v>0</v>
      </c>
      <c r="H82" s="37">
        <f>'Output Schedule'!G37</f>
        <v>0</v>
      </c>
      <c r="I82" s="37">
        <f>'Output Schedule'!H37</f>
        <v>0</v>
      </c>
      <c r="J82" s="37">
        <f>'Output Schedule'!I37</f>
        <v>0</v>
      </c>
      <c r="K82" s="37">
        <f>'Output Schedule'!J37</f>
        <v>0</v>
      </c>
      <c r="L82" s="37">
        <f>'Output Schedule'!K37</f>
        <v>0</v>
      </c>
    </row>
    <row r="83" spans="1:12" x14ac:dyDescent="0.25">
      <c r="A83" s="6"/>
      <c r="B83" s="36" t="s">
        <v>80</v>
      </c>
      <c r="C83" s="36">
        <f>C81+C82-C84</f>
        <v>0</v>
      </c>
      <c r="D83" s="36">
        <f>D81+D82-D84</f>
        <v>0</v>
      </c>
      <c r="E83" s="36">
        <f>E81+E82-E84</f>
        <v>0</v>
      </c>
      <c r="F83" s="36">
        <f>F81+F82-F84</f>
        <v>0</v>
      </c>
      <c r="G83" s="36">
        <f>G81+G82-G84</f>
        <v>0</v>
      </c>
      <c r="H83" s="36">
        <f t="shared" ref="H83:L83" si="107">H81+H82-H84</f>
        <v>0</v>
      </c>
      <c r="I83" s="36">
        <f t="shared" si="107"/>
        <v>0</v>
      </c>
      <c r="J83" s="36">
        <f t="shared" si="107"/>
        <v>0</v>
      </c>
      <c r="K83" s="36">
        <f t="shared" si="107"/>
        <v>0</v>
      </c>
      <c r="L83" s="36">
        <f t="shared" si="107"/>
        <v>0</v>
      </c>
    </row>
    <row r="84" spans="1:12" x14ac:dyDescent="0.25">
      <c r="A84" s="6"/>
      <c r="B84" s="36" t="s">
        <v>81</v>
      </c>
      <c r="C84" s="36">
        <f>ROUND(C82/24,0)</f>
        <v>0</v>
      </c>
      <c r="D84" s="36">
        <f t="shared" ref="D84:L84" si="108">ROUND(D82/24,0)</f>
        <v>0</v>
      </c>
      <c r="E84" s="36">
        <f t="shared" si="108"/>
        <v>0</v>
      </c>
      <c r="F84" s="36">
        <f t="shared" si="108"/>
        <v>0</v>
      </c>
      <c r="G84" s="36">
        <f t="shared" si="108"/>
        <v>0</v>
      </c>
      <c r="H84" s="36">
        <f t="shared" si="108"/>
        <v>0</v>
      </c>
      <c r="I84" s="36">
        <f t="shared" si="108"/>
        <v>0</v>
      </c>
      <c r="J84" s="36">
        <f t="shared" si="108"/>
        <v>0</v>
      </c>
      <c r="K84" s="36">
        <f t="shared" si="108"/>
        <v>0</v>
      </c>
      <c r="L84" s="36">
        <f t="shared" si="108"/>
        <v>0</v>
      </c>
    </row>
    <row r="85" spans="1:12" x14ac:dyDescent="0.25">
      <c r="A85" s="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</row>
    <row r="86" spans="1:12" hidden="1" x14ac:dyDescent="0.25">
      <c r="A86" s="298" t="s">
        <v>402</v>
      </c>
      <c r="B86" s="26" t="str">
        <f>+'Output Schedule'!A38</f>
        <v>Waste</v>
      </c>
      <c r="C86" s="8"/>
      <c r="D86" s="8"/>
      <c r="E86" s="8"/>
      <c r="F86" s="8"/>
      <c r="G86" s="8"/>
      <c r="H86" s="8"/>
      <c r="I86" s="8"/>
      <c r="J86" s="6"/>
      <c r="K86" s="6"/>
      <c r="L86" s="6"/>
    </row>
    <row r="87" spans="1:12" hidden="1" x14ac:dyDescent="0.25">
      <c r="A87" s="6"/>
      <c r="B87" s="36" t="s">
        <v>78</v>
      </c>
      <c r="C87" s="36">
        <f>0</f>
        <v>0</v>
      </c>
      <c r="D87" s="36">
        <f>C90</f>
        <v>0</v>
      </c>
      <c r="E87" s="36">
        <f>D90</f>
        <v>0</v>
      </c>
      <c r="F87" s="36">
        <f>E90</f>
        <v>0</v>
      </c>
      <c r="G87" s="36">
        <f>F90</f>
        <v>0</v>
      </c>
      <c r="H87" s="36">
        <f t="shared" ref="H87" si="109">G90</f>
        <v>0</v>
      </c>
      <c r="I87" s="36">
        <f t="shared" ref="I87" si="110">H90</f>
        <v>0</v>
      </c>
      <c r="J87" s="36">
        <f t="shared" ref="J87" si="111">I90</f>
        <v>0</v>
      </c>
      <c r="K87" s="36">
        <f t="shared" ref="K87" si="112">J90</f>
        <v>0</v>
      </c>
      <c r="L87" s="36">
        <f t="shared" ref="L87" si="113">K90</f>
        <v>0</v>
      </c>
    </row>
    <row r="88" spans="1:12" hidden="1" x14ac:dyDescent="0.25">
      <c r="A88" s="6"/>
      <c r="B88" s="36" t="s">
        <v>79</v>
      </c>
      <c r="C88" s="37">
        <f>+'Output Schedule'!B38</f>
        <v>3</v>
      </c>
      <c r="D88" s="37">
        <f>+'Output Schedule'!C38</f>
        <v>3</v>
      </c>
      <c r="E88" s="37">
        <f>+'Output Schedule'!D38</f>
        <v>4</v>
      </c>
      <c r="F88" s="37">
        <f>+'Output Schedule'!E38</f>
        <v>4</v>
      </c>
      <c r="G88" s="37">
        <f>+'Output Schedule'!F38</f>
        <v>4</v>
      </c>
      <c r="H88" s="37">
        <f>+'Output Schedule'!G38</f>
        <v>5</v>
      </c>
      <c r="I88" s="37">
        <f>+'Output Schedule'!H38</f>
        <v>5</v>
      </c>
      <c r="J88" s="37">
        <f>+'Output Schedule'!I38</f>
        <v>5</v>
      </c>
      <c r="K88" s="37">
        <f>+'Output Schedule'!J38</f>
        <v>5</v>
      </c>
      <c r="L88" s="37">
        <f>+'Output Schedule'!K38</f>
        <v>6</v>
      </c>
    </row>
    <row r="89" spans="1:12" hidden="1" x14ac:dyDescent="0.25">
      <c r="A89" s="6"/>
      <c r="B89" s="36" t="s">
        <v>80</v>
      </c>
      <c r="C89" s="36">
        <f>C87+C88-C90</f>
        <v>3</v>
      </c>
      <c r="D89" s="36">
        <f>D87+D88-D90</f>
        <v>3</v>
      </c>
      <c r="E89" s="36">
        <f>E87+E88-E90</f>
        <v>4</v>
      </c>
      <c r="F89" s="36">
        <f>F87+F88-F90</f>
        <v>4</v>
      </c>
      <c r="G89" s="36">
        <f>G87+G88-G90</f>
        <v>4</v>
      </c>
      <c r="H89" s="36">
        <f t="shared" ref="H89:L89" si="114">H87+H88-H90</f>
        <v>5</v>
      </c>
      <c r="I89" s="36">
        <f t="shared" si="114"/>
        <v>5</v>
      </c>
      <c r="J89" s="36">
        <f t="shared" si="114"/>
        <v>5</v>
      </c>
      <c r="K89" s="36">
        <f t="shared" si="114"/>
        <v>5</v>
      </c>
      <c r="L89" s="36">
        <f t="shared" si="114"/>
        <v>6</v>
      </c>
    </row>
    <row r="90" spans="1:12" hidden="1" x14ac:dyDescent="0.25">
      <c r="A90" s="6"/>
      <c r="B90" s="36" t="s">
        <v>81</v>
      </c>
      <c r="C90" s="36">
        <f>ROUND(C88/24,0)</f>
        <v>0</v>
      </c>
      <c r="D90" s="36">
        <f t="shared" ref="D90:L90" si="115">ROUND(D88/24,0)</f>
        <v>0</v>
      </c>
      <c r="E90" s="36">
        <f t="shared" si="115"/>
        <v>0</v>
      </c>
      <c r="F90" s="36">
        <f t="shared" si="115"/>
        <v>0</v>
      </c>
      <c r="G90" s="36">
        <f t="shared" si="115"/>
        <v>0</v>
      </c>
      <c r="H90" s="36">
        <f t="shared" si="115"/>
        <v>0</v>
      </c>
      <c r="I90" s="36">
        <f t="shared" si="115"/>
        <v>0</v>
      </c>
      <c r="J90" s="36">
        <f t="shared" si="115"/>
        <v>0</v>
      </c>
      <c r="K90" s="36">
        <f t="shared" si="115"/>
        <v>0</v>
      </c>
      <c r="L90" s="36">
        <f t="shared" si="115"/>
        <v>0</v>
      </c>
    </row>
    <row r="91" spans="1:1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6"/>
      <c r="B92" s="26" t="s">
        <v>84</v>
      </c>
      <c r="C92" s="3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43" t="s">
        <v>77</v>
      </c>
      <c r="B93" s="33" t="str">
        <f>+B62</f>
        <v>Chana Dall</v>
      </c>
      <c r="C93" s="42">
        <v>80000</v>
      </c>
      <c r="D93" s="45">
        <f>ROUND(C93*1.05,-1)</f>
        <v>84000</v>
      </c>
      <c r="E93" s="45">
        <f t="shared" ref="E93:E96" si="116">ROUND(D93*1.05,-1)</f>
        <v>88200</v>
      </c>
      <c r="F93" s="45">
        <f t="shared" ref="F93:F96" si="117">ROUND(E93*1.05,-1)</f>
        <v>92610</v>
      </c>
      <c r="G93" s="45">
        <f t="shared" ref="G93:G96" si="118">ROUND(F93*1.05,-1)</f>
        <v>97240</v>
      </c>
      <c r="H93" s="45">
        <f t="shared" ref="H93:H96" si="119">ROUND(G93*1.05,-1)</f>
        <v>102100</v>
      </c>
      <c r="I93" s="45">
        <f t="shared" ref="I93:I96" si="120">ROUND(H93*1.05,-1)</f>
        <v>107210</v>
      </c>
      <c r="J93" s="45">
        <f t="shared" ref="J93:J96" si="121">ROUND(I93*1.05,-1)</f>
        <v>112570</v>
      </c>
      <c r="K93" s="45">
        <f t="shared" ref="K93:K96" si="122">ROUND(J93*1.05,-1)</f>
        <v>118200</v>
      </c>
      <c r="L93" s="45">
        <f t="shared" ref="L93:L96" si="123">ROUND(K93*1.05,-1)</f>
        <v>124110</v>
      </c>
    </row>
    <row r="94" spans="1:12" x14ac:dyDescent="0.25">
      <c r="A94" s="43" t="s">
        <v>82</v>
      </c>
      <c r="B94" s="33" t="str">
        <f>B68</f>
        <v>Chuni</v>
      </c>
      <c r="C94" s="42">
        <v>15000</v>
      </c>
      <c r="D94" s="45">
        <f>ROUND(C94*1.05,-1)</f>
        <v>15750</v>
      </c>
      <c r="E94" s="45">
        <f t="shared" si="116"/>
        <v>16540</v>
      </c>
      <c r="F94" s="45">
        <f t="shared" si="117"/>
        <v>17370</v>
      </c>
      <c r="G94" s="45">
        <f t="shared" si="118"/>
        <v>18240</v>
      </c>
      <c r="H94" s="45">
        <f t="shared" si="119"/>
        <v>19150</v>
      </c>
      <c r="I94" s="45">
        <f t="shared" si="120"/>
        <v>20110</v>
      </c>
      <c r="J94" s="45">
        <f t="shared" si="121"/>
        <v>21120</v>
      </c>
      <c r="K94" s="45">
        <f t="shared" si="122"/>
        <v>22180</v>
      </c>
      <c r="L94" s="45">
        <f t="shared" si="123"/>
        <v>23290</v>
      </c>
    </row>
    <row r="95" spans="1:12" x14ac:dyDescent="0.25">
      <c r="A95" s="43" t="s">
        <v>83</v>
      </c>
      <c r="B95" s="33" t="str">
        <f>B74</f>
        <v>Bhusa</v>
      </c>
      <c r="C95" s="42">
        <v>15000</v>
      </c>
      <c r="D95" s="45">
        <f>ROUND(C95*1.05,-1)</f>
        <v>15750</v>
      </c>
      <c r="E95" s="45">
        <f t="shared" si="116"/>
        <v>16540</v>
      </c>
      <c r="F95" s="45">
        <f t="shared" si="117"/>
        <v>17370</v>
      </c>
      <c r="G95" s="45">
        <f t="shared" si="118"/>
        <v>18240</v>
      </c>
      <c r="H95" s="45">
        <f t="shared" si="119"/>
        <v>19150</v>
      </c>
      <c r="I95" s="45">
        <f t="shared" si="120"/>
        <v>20110</v>
      </c>
      <c r="J95" s="45">
        <f t="shared" si="121"/>
        <v>21120</v>
      </c>
      <c r="K95" s="45">
        <f t="shared" si="122"/>
        <v>22180</v>
      </c>
      <c r="L95" s="45">
        <f t="shared" si="123"/>
        <v>23290</v>
      </c>
    </row>
    <row r="96" spans="1:12" x14ac:dyDescent="0.25">
      <c r="A96" s="43" t="s">
        <v>401</v>
      </c>
      <c r="B96" s="33" t="str">
        <f>B80</f>
        <v>Powder</v>
      </c>
      <c r="C96" s="42">
        <v>15000</v>
      </c>
      <c r="D96" s="45">
        <f>ROUND(C96*1.05,-1)</f>
        <v>15750</v>
      </c>
      <c r="E96" s="45">
        <f t="shared" si="116"/>
        <v>16540</v>
      </c>
      <c r="F96" s="45">
        <f t="shared" si="117"/>
        <v>17370</v>
      </c>
      <c r="G96" s="45">
        <f t="shared" si="118"/>
        <v>18240</v>
      </c>
      <c r="H96" s="45">
        <f t="shared" si="119"/>
        <v>19150</v>
      </c>
      <c r="I96" s="45">
        <f t="shared" si="120"/>
        <v>20110</v>
      </c>
      <c r="J96" s="45">
        <f t="shared" si="121"/>
        <v>21120</v>
      </c>
      <c r="K96" s="45">
        <f t="shared" si="122"/>
        <v>22180</v>
      </c>
      <c r="L96" s="45">
        <f t="shared" si="123"/>
        <v>23290</v>
      </c>
    </row>
    <row r="97" spans="1:12" hidden="1" x14ac:dyDescent="0.25">
      <c r="A97" s="43" t="s">
        <v>402</v>
      </c>
      <c r="B97" s="33" t="str">
        <f>B86</f>
        <v>Waste</v>
      </c>
      <c r="C97" s="42">
        <v>0</v>
      </c>
      <c r="D97" s="45">
        <f>ROUND(C97*1.05,-1)</f>
        <v>0</v>
      </c>
      <c r="E97" s="45">
        <f t="shared" ref="E97" si="124">ROUND(D97*1.05,-1)</f>
        <v>0</v>
      </c>
      <c r="F97" s="45">
        <f t="shared" ref="F97" si="125">ROUND(E97*1.05,-1)</f>
        <v>0</v>
      </c>
      <c r="G97" s="45">
        <f t="shared" ref="G97" si="126">ROUND(F97*1.05,-1)</f>
        <v>0</v>
      </c>
      <c r="H97" s="45">
        <f t="shared" ref="H97" si="127">ROUND(G97*1.05,-1)</f>
        <v>0</v>
      </c>
      <c r="I97" s="45">
        <f t="shared" ref="I97" si="128">ROUND(H97*1.05,-1)</f>
        <v>0</v>
      </c>
      <c r="J97" s="45">
        <f t="shared" ref="J97" si="129">ROUND(I97*1.05,-1)</f>
        <v>0</v>
      </c>
      <c r="K97" s="45">
        <f t="shared" ref="K97" si="130">ROUND(J97*1.05,-1)</f>
        <v>0</v>
      </c>
      <c r="L97" s="45">
        <f t="shared" ref="L97" si="131">ROUND(K97*1.05,-1)</f>
        <v>0</v>
      </c>
    </row>
    <row r="98" spans="1:12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8" t="s">
        <v>77</v>
      </c>
      <c r="B99" s="8" t="str">
        <f>B93</f>
        <v>Chana Dall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A100" s="6"/>
      <c r="B100" s="36" t="s">
        <v>70</v>
      </c>
      <c r="C100" s="42">
        <v>0</v>
      </c>
      <c r="D100" s="42">
        <f>C101</f>
        <v>4</v>
      </c>
      <c r="E100" s="42">
        <f>D101</f>
        <v>4.2</v>
      </c>
      <c r="F100" s="42">
        <f t="shared" ref="F100" si="132">E101</f>
        <v>5.2919999999999998</v>
      </c>
      <c r="G100" s="42">
        <f t="shared" ref="G100" si="133">F101</f>
        <v>5.5566000000000004</v>
      </c>
      <c r="H100" s="42">
        <f t="shared" ref="H100" si="134">G101</f>
        <v>6.8068</v>
      </c>
      <c r="I100" s="42">
        <f t="shared" ref="I100" si="135">H101</f>
        <v>7.1470000000000002</v>
      </c>
      <c r="J100" s="42">
        <f t="shared" ref="J100" si="136">I101</f>
        <v>8.5768000000000004</v>
      </c>
      <c r="K100" s="42">
        <f t="shared" ref="K100" si="137">J101</f>
        <v>9.0055999999999994</v>
      </c>
      <c r="L100" s="42">
        <f t="shared" ref="L100" si="138">K101</f>
        <v>10.638</v>
      </c>
    </row>
    <row r="101" spans="1:12" x14ac:dyDescent="0.25">
      <c r="A101" s="6"/>
      <c r="B101" s="36" t="s">
        <v>71</v>
      </c>
      <c r="C101" s="42">
        <f>C66*C93/100000</f>
        <v>4</v>
      </c>
      <c r="D101" s="42">
        <f t="shared" ref="D101:L101" si="139">D66*D93/100000</f>
        <v>4.2</v>
      </c>
      <c r="E101" s="42">
        <f t="shared" si="139"/>
        <v>5.2919999999999998</v>
      </c>
      <c r="F101" s="42">
        <f t="shared" si="139"/>
        <v>5.5566000000000004</v>
      </c>
      <c r="G101" s="42">
        <f t="shared" si="139"/>
        <v>6.8068</v>
      </c>
      <c r="H101" s="42">
        <f t="shared" si="139"/>
        <v>7.1470000000000002</v>
      </c>
      <c r="I101" s="42">
        <f t="shared" si="139"/>
        <v>8.5768000000000004</v>
      </c>
      <c r="J101" s="42">
        <f t="shared" si="139"/>
        <v>9.0055999999999994</v>
      </c>
      <c r="K101" s="42">
        <f t="shared" si="139"/>
        <v>10.638</v>
      </c>
      <c r="L101" s="42">
        <f t="shared" si="139"/>
        <v>11.1699</v>
      </c>
    </row>
    <row r="102" spans="1:1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8" t="s">
        <v>82</v>
      </c>
      <c r="B103" s="8" t="str">
        <f>B68</f>
        <v>Chuni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6"/>
      <c r="B104" s="36" t="s">
        <v>70</v>
      </c>
      <c r="C104" s="42">
        <v>0</v>
      </c>
      <c r="D104" s="42">
        <f>C105</f>
        <v>0.15</v>
      </c>
      <c r="E104" s="42">
        <f>D105</f>
        <v>0.1575</v>
      </c>
      <c r="F104" s="42">
        <f t="shared" ref="F104" si="140">E105</f>
        <v>0.16539999999999999</v>
      </c>
      <c r="G104" s="42">
        <f t="shared" ref="G104" si="141">F105</f>
        <v>0.17369999999999999</v>
      </c>
      <c r="H104" s="42">
        <f t="shared" ref="H104" si="142">G105</f>
        <v>0.18240000000000001</v>
      </c>
      <c r="I104" s="42">
        <f t="shared" ref="I104" si="143">H105</f>
        <v>0.1915</v>
      </c>
      <c r="J104" s="42">
        <f t="shared" ref="J104" si="144">I105</f>
        <v>0.2011</v>
      </c>
      <c r="K104" s="42">
        <f t="shared" ref="K104" si="145">J105</f>
        <v>0.2112</v>
      </c>
      <c r="L104" s="42">
        <f t="shared" ref="L104" si="146">K105</f>
        <v>0.2218</v>
      </c>
    </row>
    <row r="105" spans="1:12" x14ac:dyDescent="0.25">
      <c r="A105" s="6"/>
      <c r="B105" s="36" t="s">
        <v>71</v>
      </c>
      <c r="C105" s="42">
        <f>C94*C72/100000</f>
        <v>0.15</v>
      </c>
      <c r="D105" s="42">
        <f t="shared" ref="D105:L105" si="147">D94*D72/100000</f>
        <v>0.1575</v>
      </c>
      <c r="E105" s="42">
        <f t="shared" si="147"/>
        <v>0.16539999999999999</v>
      </c>
      <c r="F105" s="42">
        <f t="shared" si="147"/>
        <v>0.17369999999999999</v>
      </c>
      <c r="G105" s="42">
        <f t="shared" si="147"/>
        <v>0.18240000000000001</v>
      </c>
      <c r="H105" s="42">
        <f t="shared" si="147"/>
        <v>0.1915</v>
      </c>
      <c r="I105" s="42">
        <f t="shared" si="147"/>
        <v>0.2011</v>
      </c>
      <c r="J105" s="42">
        <f t="shared" si="147"/>
        <v>0.2112</v>
      </c>
      <c r="K105" s="42">
        <f t="shared" si="147"/>
        <v>0.2218</v>
      </c>
      <c r="L105" s="42">
        <f t="shared" si="147"/>
        <v>0.2329</v>
      </c>
    </row>
    <row r="106" spans="1:12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8" t="s">
        <v>83</v>
      </c>
      <c r="B107" s="8" t="str">
        <f>B74</f>
        <v>Bhusa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A108" s="6"/>
      <c r="B108" s="36" t="s">
        <v>70</v>
      </c>
      <c r="C108" s="42">
        <v>0</v>
      </c>
      <c r="D108" s="42">
        <f>C109</f>
        <v>0.15</v>
      </c>
      <c r="E108" s="42">
        <f>D109</f>
        <v>0.1575</v>
      </c>
      <c r="F108" s="42">
        <f t="shared" ref="F108" si="148">E109</f>
        <v>0.16539999999999999</v>
      </c>
      <c r="G108" s="42">
        <f t="shared" ref="G108" si="149">F109</f>
        <v>0.17369999999999999</v>
      </c>
      <c r="H108" s="42">
        <f t="shared" ref="H108" si="150">G109</f>
        <v>0.18240000000000001</v>
      </c>
      <c r="I108" s="42">
        <f t="shared" ref="I108" si="151">H109</f>
        <v>0.1915</v>
      </c>
      <c r="J108" s="42">
        <f t="shared" ref="J108" si="152">I109</f>
        <v>0.4022</v>
      </c>
      <c r="K108" s="42">
        <f t="shared" ref="K108" si="153">J109</f>
        <v>0.4224</v>
      </c>
      <c r="L108" s="42">
        <f t="shared" ref="L108" si="154">K109</f>
        <v>0.44359999999999999</v>
      </c>
    </row>
    <row r="109" spans="1:12" x14ac:dyDescent="0.25">
      <c r="A109" s="6"/>
      <c r="B109" s="36" t="s">
        <v>71</v>
      </c>
      <c r="C109" s="42">
        <f>C95*C78/100000</f>
        <v>0.15</v>
      </c>
      <c r="D109" s="42">
        <f t="shared" ref="D109:L109" si="155">D95*D78/100000</f>
        <v>0.1575</v>
      </c>
      <c r="E109" s="42">
        <f t="shared" si="155"/>
        <v>0.16539999999999999</v>
      </c>
      <c r="F109" s="42">
        <f t="shared" si="155"/>
        <v>0.17369999999999999</v>
      </c>
      <c r="G109" s="42">
        <f t="shared" si="155"/>
        <v>0.18240000000000001</v>
      </c>
      <c r="H109" s="42">
        <f t="shared" si="155"/>
        <v>0.1915</v>
      </c>
      <c r="I109" s="42">
        <f t="shared" si="155"/>
        <v>0.4022</v>
      </c>
      <c r="J109" s="42">
        <f t="shared" si="155"/>
        <v>0.4224</v>
      </c>
      <c r="K109" s="42">
        <f t="shared" si="155"/>
        <v>0.44359999999999999</v>
      </c>
      <c r="L109" s="42">
        <f t="shared" si="155"/>
        <v>0.46579999999999999</v>
      </c>
    </row>
    <row r="110" spans="1:12" x14ac:dyDescent="0.25">
      <c r="A110" s="6"/>
      <c r="B110" s="36"/>
      <c r="C110" s="42"/>
      <c r="D110" s="42"/>
      <c r="E110" s="42"/>
      <c r="F110" s="42"/>
      <c r="G110" s="42"/>
      <c r="H110" s="42"/>
      <c r="I110" s="42"/>
      <c r="J110" s="6"/>
      <c r="K110" s="6"/>
      <c r="L110" s="6"/>
    </row>
    <row r="111" spans="1:12" x14ac:dyDescent="0.25">
      <c r="A111" s="6" t="s">
        <v>401</v>
      </c>
      <c r="B111" s="8" t="str">
        <f>B80</f>
        <v>Powder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5">
      <c r="A112" s="6"/>
      <c r="B112" s="36" t="s">
        <v>70</v>
      </c>
      <c r="C112" s="42">
        <v>0</v>
      </c>
      <c r="D112" s="42">
        <f>C113</f>
        <v>0</v>
      </c>
      <c r="E112" s="42">
        <f>D113</f>
        <v>0</v>
      </c>
      <c r="F112" s="42">
        <f t="shared" ref="F112" si="156">E113</f>
        <v>0</v>
      </c>
      <c r="G112" s="42">
        <f t="shared" ref="G112" si="157">F113</f>
        <v>0</v>
      </c>
      <c r="H112" s="42">
        <f t="shared" ref="H112" si="158">G113</f>
        <v>0</v>
      </c>
      <c r="I112" s="42">
        <f t="shared" ref="I112" si="159">H113</f>
        <v>0</v>
      </c>
      <c r="J112" s="42">
        <f t="shared" ref="J112" si="160">I113</f>
        <v>0</v>
      </c>
      <c r="K112" s="42">
        <f t="shared" ref="K112" si="161">J113</f>
        <v>0</v>
      </c>
      <c r="L112" s="42">
        <f t="shared" ref="L112" si="162">K113</f>
        <v>0</v>
      </c>
    </row>
    <row r="113" spans="1:12" x14ac:dyDescent="0.25">
      <c r="A113" s="6"/>
      <c r="B113" s="36" t="s">
        <v>71</v>
      </c>
      <c r="C113" s="42">
        <f>C96*C84/100000</f>
        <v>0</v>
      </c>
      <c r="D113" s="42">
        <f t="shared" ref="D113:L113" si="163">D96*D84/100000</f>
        <v>0</v>
      </c>
      <c r="E113" s="42">
        <f t="shared" si="163"/>
        <v>0</v>
      </c>
      <c r="F113" s="42">
        <f t="shared" si="163"/>
        <v>0</v>
      </c>
      <c r="G113" s="42">
        <f t="shared" si="163"/>
        <v>0</v>
      </c>
      <c r="H113" s="42">
        <f t="shared" si="163"/>
        <v>0</v>
      </c>
      <c r="I113" s="42">
        <f t="shared" si="163"/>
        <v>0</v>
      </c>
      <c r="J113" s="42">
        <f t="shared" si="163"/>
        <v>0</v>
      </c>
      <c r="K113" s="42">
        <f t="shared" si="163"/>
        <v>0</v>
      </c>
      <c r="L113" s="42">
        <f t="shared" si="163"/>
        <v>0</v>
      </c>
    </row>
    <row r="114" spans="1:1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idden="1" x14ac:dyDescent="0.25">
      <c r="A115" s="6" t="s">
        <v>401</v>
      </c>
      <c r="B115" s="8" t="str">
        <f>B86</f>
        <v>Waste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idden="1" x14ac:dyDescent="0.25">
      <c r="A116" s="6"/>
      <c r="B116" s="36" t="s">
        <v>70</v>
      </c>
      <c r="C116" s="42">
        <v>0</v>
      </c>
      <c r="D116" s="42">
        <f>C117</f>
        <v>0</v>
      </c>
      <c r="E116" s="42">
        <f>D117</f>
        <v>0</v>
      </c>
      <c r="F116" s="42">
        <f t="shared" ref="F116" si="164">E117</f>
        <v>0</v>
      </c>
      <c r="G116" s="42">
        <f t="shared" ref="G116" si="165">F117</f>
        <v>0</v>
      </c>
      <c r="H116" s="42">
        <f t="shared" ref="H116" si="166">G117</f>
        <v>0</v>
      </c>
      <c r="I116" s="42">
        <f t="shared" ref="I116" si="167">H117</f>
        <v>0</v>
      </c>
      <c r="J116" s="42">
        <f t="shared" ref="J116" si="168">I117</f>
        <v>0</v>
      </c>
      <c r="K116" s="42">
        <f t="shared" ref="K116" si="169">J117</f>
        <v>0</v>
      </c>
      <c r="L116" s="42">
        <f t="shared" ref="L116" si="170">K117</f>
        <v>0</v>
      </c>
    </row>
    <row r="117" spans="1:12" hidden="1" x14ac:dyDescent="0.25">
      <c r="A117" s="6"/>
      <c r="B117" s="36" t="s">
        <v>71</v>
      </c>
      <c r="C117" s="42">
        <f>C97*C90/100000</f>
        <v>0</v>
      </c>
      <c r="D117" s="42">
        <f t="shared" ref="D117:L117" si="171">D97*D90/100000</f>
        <v>0</v>
      </c>
      <c r="E117" s="42">
        <f t="shared" si="171"/>
        <v>0</v>
      </c>
      <c r="F117" s="42">
        <f t="shared" si="171"/>
        <v>0</v>
      </c>
      <c r="G117" s="42">
        <f t="shared" si="171"/>
        <v>0</v>
      </c>
      <c r="H117" s="42">
        <f t="shared" si="171"/>
        <v>0</v>
      </c>
      <c r="I117" s="42">
        <f t="shared" si="171"/>
        <v>0</v>
      </c>
      <c r="J117" s="42">
        <f t="shared" si="171"/>
        <v>0</v>
      </c>
      <c r="K117" s="42">
        <f t="shared" si="171"/>
        <v>0</v>
      </c>
      <c r="L117" s="42">
        <f t="shared" si="171"/>
        <v>0</v>
      </c>
    </row>
    <row r="118" spans="1:12" hidden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idden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6"/>
      <c r="B121" s="8" t="s">
        <v>85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6"/>
      <c r="B122" s="26" t="s">
        <v>70</v>
      </c>
      <c r="C122" s="41">
        <f>C42+C46+C50+C54+C100+C104+C108+C112+C58+C116</f>
        <v>0</v>
      </c>
      <c r="D122" s="41">
        <f t="shared" ref="D122:L122" si="172">D42+D46+D50+D54+D100+D104+D108+D112+D58+D116</f>
        <v>10.650000000000002</v>
      </c>
      <c r="E122" s="41">
        <f t="shared" si="172"/>
        <v>12.285</v>
      </c>
      <c r="F122" s="41">
        <f t="shared" si="172"/>
        <v>14.7182</v>
      </c>
      <c r="G122" s="41">
        <f t="shared" si="172"/>
        <v>15.454499999999999</v>
      </c>
      <c r="H122" s="41">
        <f t="shared" si="172"/>
        <v>18.232900000000004</v>
      </c>
      <c r="I122" s="41">
        <f t="shared" si="172"/>
        <v>20.485100000000003</v>
      </c>
      <c r="J122" s="41">
        <f t="shared" si="172"/>
        <v>22.782599999999999</v>
      </c>
      <c r="K122" s="41">
        <f t="shared" si="172"/>
        <v>25.118400000000001</v>
      </c>
      <c r="L122" s="41">
        <f t="shared" si="172"/>
        <v>28.812500000000004</v>
      </c>
    </row>
    <row r="123" spans="1:12" x14ac:dyDescent="0.25">
      <c r="A123" s="6"/>
      <c r="B123" s="26" t="s">
        <v>71</v>
      </c>
      <c r="C123" s="41">
        <f>C43+C47+C51+C55+C101+C105+C109+C113+C59+C117</f>
        <v>10.650000000000002</v>
      </c>
      <c r="D123" s="41">
        <f t="shared" ref="D123:L123" si="173">D43+D47+D51+D55+D101+D105+D109+D113+D59+D117</f>
        <v>12.285</v>
      </c>
      <c r="E123" s="41">
        <f t="shared" si="173"/>
        <v>14.7182</v>
      </c>
      <c r="F123" s="41">
        <f t="shared" si="173"/>
        <v>15.454499999999999</v>
      </c>
      <c r="G123" s="41">
        <f t="shared" si="173"/>
        <v>18.232900000000004</v>
      </c>
      <c r="H123" s="41">
        <f t="shared" si="173"/>
        <v>20.485100000000003</v>
      </c>
      <c r="I123" s="41">
        <f t="shared" si="173"/>
        <v>22.782599999999999</v>
      </c>
      <c r="J123" s="41">
        <f t="shared" si="173"/>
        <v>25.118400000000001</v>
      </c>
      <c r="K123" s="41">
        <f t="shared" si="173"/>
        <v>28.812500000000004</v>
      </c>
      <c r="L123" s="41">
        <f t="shared" si="173"/>
        <v>31.882400000000004</v>
      </c>
    </row>
    <row r="125" spans="1:12" x14ac:dyDescent="0.25">
      <c r="C125" s="25"/>
    </row>
  </sheetData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6</vt:i4>
      </vt:variant>
    </vt:vector>
  </HeadingPairs>
  <TitlesOfParts>
    <vt:vector size="46" baseType="lpstr">
      <vt:lpstr>Capital Cost</vt:lpstr>
      <vt:lpstr>Key Assumptions</vt:lpstr>
      <vt:lpstr>Capital Cost break-up</vt:lpstr>
      <vt:lpstr>Project Glance</vt:lpstr>
      <vt:lpstr>Depn</vt:lpstr>
      <vt:lpstr>Output Schedule</vt:lpstr>
      <vt:lpstr>CS-RM</vt:lpstr>
      <vt:lpstr>Purchase Schedule</vt:lpstr>
      <vt:lpstr>CS-FG</vt:lpstr>
      <vt:lpstr>Sales Schedule</vt:lpstr>
      <vt:lpstr>Farm Implement Business</vt:lpstr>
      <vt:lpstr>Production Level Support</vt:lpstr>
      <vt:lpstr>Manpower Schedule</vt:lpstr>
      <vt:lpstr>weigh Bridge</vt:lpstr>
      <vt:lpstr>Opex Schedule</vt:lpstr>
      <vt:lpstr>WC Req</vt:lpstr>
      <vt:lpstr>Ammortization</vt:lpstr>
      <vt:lpstr>WC Assessment</vt:lpstr>
      <vt:lpstr>P&amp;L</vt:lpstr>
      <vt:lpstr>Tax</vt:lpstr>
      <vt:lpstr>BS</vt:lpstr>
      <vt:lpstr>CF</vt:lpstr>
      <vt:lpstr>TL Schedule</vt:lpstr>
      <vt:lpstr>Interest</vt:lpstr>
      <vt:lpstr>ROCE and Payback</vt:lpstr>
      <vt:lpstr>NPV</vt:lpstr>
      <vt:lpstr>IRR</vt:lpstr>
      <vt:lpstr>Debt Equity</vt:lpstr>
      <vt:lpstr>Break Even</vt:lpstr>
      <vt:lpstr>DSCR</vt:lpstr>
      <vt:lpstr>BEP &amp; DSCR</vt:lpstr>
      <vt:lpstr>Sheet19</vt:lpstr>
      <vt:lpstr>Sheet6</vt:lpstr>
      <vt:lpstr>Benefit-FPO-Producer</vt:lpstr>
      <vt:lpstr>Sheet2</vt:lpstr>
      <vt:lpstr>Economic Analysis</vt:lpstr>
      <vt:lpstr>Sheet9</vt:lpstr>
      <vt:lpstr>sensitivity</vt:lpstr>
      <vt:lpstr>Member Data</vt:lpstr>
      <vt:lpstr>Sheet1</vt:lpstr>
      <vt:lpstr>'Capital Cost'!Print_Area</vt:lpstr>
      <vt:lpstr>IRR!Print_Area</vt:lpstr>
      <vt:lpstr>'Opex Schedule'!Print_Area</vt:lpstr>
      <vt:lpstr>'Output Schedule'!Print_Area</vt:lpstr>
      <vt:lpstr>'Project Glance'!Print_Area</vt:lpstr>
      <vt:lpstr>'ROCE and Payback'!Print_Area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Huskar</cp:lastModifiedBy>
  <cp:lastPrinted>2022-05-13T07:29:47Z</cp:lastPrinted>
  <dcterms:created xsi:type="dcterms:W3CDTF">2020-07-01T05:43:42Z</dcterms:created>
  <dcterms:modified xsi:type="dcterms:W3CDTF">2022-05-13T08:10:34Z</dcterms:modified>
</cp:coreProperties>
</file>